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2" yWindow="432" windowWidth="15480" windowHeight="8772" tabRatio="739" activeTab="8"/>
  </bookViews>
  <sheets>
    <sheet name="Data Entry" sheetId="1" r:id="rId1"/>
    <sheet name="Black or African-American" sheetId="2" r:id="rId2"/>
    <sheet name="Hispanic" sheetId="3" r:id="rId3"/>
    <sheet name="Asian" sheetId="4" r:id="rId4"/>
    <sheet name="Hawaiian" sheetId="5" r:id="rId5"/>
    <sheet name="Am Indian" sheetId="6" r:id="rId6"/>
    <sheet name="Other - Mixed" sheetId="7" r:id="rId7"/>
    <sheet name="All Minorities" sheetId="8" r:id="rId8"/>
    <sheet name="Summary" sheetId="9" r:id="rId9"/>
    <sheet name="Defaults" sheetId="10" r:id="rId10"/>
  </sheets>
  <definedNames>
    <definedName name="_xlnm.Print_Area" localSheetId="0">'Data Entry'!$A$1:$J$24</definedName>
    <definedName name="_xlnm.Print_Area" localSheetId="8">'Summary'!$B$2:$I$25</definedName>
  </definedNames>
  <calcPr fullCalcOnLoad="1"/>
</workbook>
</file>

<file path=xl/sharedStrings.xml><?xml version="1.0" encoding="utf-8"?>
<sst xmlns="http://schemas.openxmlformats.org/spreadsheetml/2006/main" count="558" uniqueCount="124">
  <si>
    <t xml:space="preserve"> AREA REPORTED</t>
  </si>
  <si>
    <t xml:space="preserve">Data Entry Section </t>
  </si>
  <si>
    <t>Total Youth</t>
  </si>
  <si>
    <t>White</t>
  </si>
  <si>
    <t>Black or African-American</t>
  </si>
  <si>
    <t>Hispanic or Latino</t>
  </si>
  <si>
    <t>Asian</t>
  </si>
  <si>
    <t>Native Hawaiian or other Pacific Islanders</t>
  </si>
  <si>
    <t>American Indian or Alaska Native</t>
  </si>
  <si>
    <t>Other/ Mixed</t>
  </si>
  <si>
    <t>All Minorities</t>
  </si>
  <si>
    <t xml:space="preserve">2. Juvenile Arrests </t>
  </si>
  <si>
    <t>3. Refer to Juvenile Court</t>
  </si>
  <si>
    <t xml:space="preserve">4. Cases Diverted </t>
  </si>
  <si>
    <t>5. Cases Involving Secure Detention</t>
  </si>
  <si>
    <t>7. Cases Resulting in Delinquent Findings</t>
  </si>
  <si>
    <t>8. Cases resulting in Probation Placement</t>
  </si>
  <si>
    <t xml:space="preserve">9. Cases Resulting in Confinement in Secure    Juvenile Correctional Facilities </t>
  </si>
  <si>
    <t xml:space="preserve">10. Cases Transferred to Adult Court </t>
  </si>
  <si>
    <t>5. DATA SOURCES &amp; NOTES</t>
  </si>
  <si>
    <t>1. AREA REPORTED</t>
  </si>
  <si>
    <t xml:space="preserve">Data Items </t>
  </si>
  <si>
    <t xml:space="preserve">Total Number of White Youth </t>
  </si>
  <si>
    <t>Rate of Occurrence - White Youth</t>
  </si>
  <si>
    <t xml:space="preserve">Total Number of Minority Youth </t>
  </si>
  <si>
    <t>Rate of Occurrence - Minority Youth</t>
  </si>
  <si>
    <t>a</t>
  </si>
  <si>
    <t>b</t>
  </si>
  <si>
    <t>c</t>
  </si>
  <si>
    <t>d</t>
  </si>
  <si>
    <t>N</t>
  </si>
  <si>
    <t>X2 num</t>
  </si>
  <si>
    <t>X2 denom</t>
  </si>
  <si>
    <t>X2</t>
  </si>
  <si>
    <t>Definitions of rates:</t>
  </si>
  <si>
    <t>Recommended Base</t>
  </si>
  <si>
    <t>Base Used</t>
  </si>
  <si>
    <t>white</t>
  </si>
  <si>
    <t>minority</t>
  </si>
  <si>
    <t>2. Juveniles Arrested - rate per 1000 population</t>
  </si>
  <si>
    <t>per 1000 youth</t>
  </si>
  <si>
    <t>per 100 arrests</t>
  </si>
  <si>
    <t>4. Juveniles Diverted before adjudication - rate per 100 referrals</t>
  </si>
  <si>
    <t>per 100 youth petitioned</t>
  </si>
  <si>
    <t>per 100 youth found delinquent</t>
  </si>
  <si>
    <t>6. Juveniles Petitioned - rate per 100 referrals</t>
  </si>
  <si>
    <t>7. Juveniles found to be delinquent - rate per 100 youth petitioned (charged)</t>
  </si>
  <si>
    <t>8. Juveniles placed on probation - rate per 100 youth found delinquent</t>
  </si>
  <si>
    <t>6. Cases Petitioned</t>
  </si>
  <si>
    <t>Group meets 1% threshold?</t>
  </si>
  <si>
    <t xml:space="preserve">Relative Rate Index      </t>
  </si>
  <si>
    <t>6. Cases Petitioned (Charge Filed)</t>
  </si>
  <si>
    <t>5. Juveniles Detained  - rate per 100 referrals</t>
  </si>
  <si>
    <t>max</t>
  </si>
  <si>
    <t>per 100 referrals</t>
  </si>
  <si>
    <t>pref base</t>
  </si>
  <si>
    <t>actual base</t>
  </si>
  <si>
    <t>comment - the following are the final values to be used in calculations</t>
  </si>
  <si>
    <t>comments - section for caclulating the base for rate calculations - we do a 'bubble sort' to replace any zero or missing bases with the value of the preceding stage - also keep track of lablels!</t>
  </si>
  <si>
    <t>comment - section below calculates chi square for each RRI value - treats as 2X2 table using base values to obtain the non-processed numbers</t>
  </si>
  <si>
    <t>10. Juveniles transferred to adult court - rate per 100 youth petitioned</t>
  </si>
  <si>
    <t>9. Juveniles placed in secure correctional facilities - rate per 100 youth found delinquent</t>
  </si>
  <si>
    <t>multiplier</t>
  </si>
  <si>
    <t>Data Sufficiency Test</t>
  </si>
  <si>
    <t>Minimum Number of Target Events</t>
  </si>
  <si>
    <t>Minimum Size of Base Population</t>
  </si>
  <si>
    <t>Significance Testing</t>
  </si>
  <si>
    <t>Significance level</t>
  </si>
  <si>
    <t>The spreadsheet test provide a test of statistical significance  for use in guiding analysis.  The test which is used is based on the chi square distribution.  For a given decision (or example a finding of guilt / delinquency) It calculates the expected number of cases involving white youth and minority youth that would be expected to have the targeted decision (guilt), if there were no differences in the rates of that decision.  It then calculates how discrepant that actual results are from that expectation, and compares the size of the discrepancy to what could be expected to occur by chance at a given signficance level.  The 'standard' significance level is p=.05, meaning that a discrepancy of this magnitude (or larger) might occur by chance in 1 of 20 comparisons (.05 = 1/20).  For those who wish to use a different level of significance, choices below allow choosing the option of .10, .05, or .01</t>
  </si>
  <si>
    <t>critical value</t>
  </si>
  <si>
    <t>The Relative Risk Index is based on the computation and comparison of rates.  Under some circumstances these rates may be computed based on small numbers, which makes the rates relatively unreliable.  In general, rates based on five or fewer events from a possible base of 50 or fewer potential events should be viewed with caution.  In the individual work sheets for each race / ethnic group, a column appears which indicates whether the data meets these standards.  For those who wish to use other levels in their analysis of these data, the number of events and the size of the base population may be adjusted below.</t>
  </si>
  <si>
    <t>3. Referrals to Juvenile Court - rate per 100 arrests</t>
  </si>
  <si>
    <t xml:space="preserve">Stat. Signif? </t>
  </si>
  <si>
    <t>Sufficent Data for Signif. test?</t>
  </si>
  <si>
    <t>2. MINORITY    GROUP:</t>
  </si>
  <si>
    <t>format control</t>
  </si>
  <si>
    <t>1 = signif</t>
  </si>
  <si>
    <t>2 = not sign</t>
  </si>
  <si>
    <t>3 = miss data</t>
  </si>
  <si>
    <t>gt 20 = insuff data</t>
  </si>
  <si>
    <t>gt 100 group not meet 1%</t>
  </si>
  <si>
    <t>release 10/3/05</t>
  </si>
  <si>
    <t>is gt 1%</t>
  </si>
  <si>
    <t>*</t>
  </si>
  <si>
    <t>**</t>
  </si>
  <si>
    <t>---</t>
  </si>
  <si>
    <t>bold</t>
  </si>
  <si>
    <t>regular</t>
  </si>
  <si>
    <t>Key:</t>
  </si>
  <si>
    <t>Statistically significant results:</t>
  </si>
  <si>
    <t>Results that are not statistically significant</t>
  </si>
  <si>
    <t>Regular font</t>
  </si>
  <si>
    <t>Bold font</t>
  </si>
  <si>
    <t>Group is less than 1% of the youth population</t>
  </si>
  <si>
    <t>Insufficient number of cases for analysis</t>
  </si>
  <si>
    <t>Missing data for some element of calculation</t>
  </si>
  <si>
    <t xml:space="preserve">missing data indicator </t>
  </si>
  <si>
    <t>Summary: Relative Rate Index Compared with White Juveniles</t>
  </si>
  <si>
    <t>Meets 1% rule for group to be analyzed seperately?</t>
  </si>
  <si>
    <t>release 10/30/05</t>
  </si>
  <si>
    <t xml:space="preserve">1. Population at risk (age 10  through 17 ) </t>
  </si>
  <si>
    <t xml:space="preserve">State :  Montana                        </t>
  </si>
  <si>
    <t xml:space="preserve"> Reporting Period :</t>
  </si>
  <si>
    <t>Item 3:  JCATS (Office of the Supreme Court)</t>
  </si>
  <si>
    <t>Item 7:  JCATS (Office of the Supreme Court)</t>
  </si>
  <si>
    <t>Item 2:  JCATS (Office of the Supreme Court)</t>
  </si>
  <si>
    <t>Item 6:  JCATS (Office of the Supreme Court)</t>
  </si>
  <si>
    <t>Item 8:  JCATS (Office of the Supreme Court)</t>
  </si>
  <si>
    <t>Item 10:  JCATS (Office of the Supreme Court)</t>
  </si>
  <si>
    <t>Item 4:  JCATS (Office of the Supreme Court)</t>
  </si>
  <si>
    <t>Notes</t>
  </si>
  <si>
    <t>This RRI contains all juveniles who committed non-status (delinquent) offenses.</t>
  </si>
  <si>
    <t>*Juvenile Court Accountability Tracking System (JCATS)</t>
  </si>
  <si>
    <t xml:space="preserve">Level 7 includes consent decrees.  </t>
  </si>
  <si>
    <t>Level 4 includes cases that were "dismissed"</t>
  </si>
  <si>
    <t>Level 10 does not include cases that were filed directly into District Court</t>
  </si>
  <si>
    <t>*Please refer to the notes on the Defaults page</t>
  </si>
  <si>
    <t>No</t>
  </si>
  <si>
    <t>Item 9:  JCATS (Office of the Supreme Court)</t>
  </si>
  <si>
    <t>Item 5:  Juvenile Detention Reporting System (Montana Board of Crime Control) RRI All Secure Juvenile Holds_JS</t>
  </si>
  <si>
    <t xml:space="preserve">Item 1: "Easy Access to Juvenile Populations: 1990-2011" National Center for Juvenile Justice. Accessed: March 5, 2014. Juvenile population includes 10-17 year olds. </t>
  </si>
  <si>
    <t>January 1, 2015 to December 31, 2015</t>
  </si>
  <si>
    <t>County: Cascade</t>
  </si>
  <si>
    <t xml:space="preserve">  * 2014 population data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</si>
</sst>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quot;Yes&quot;;&quot;Yes&quot;;&quot;No&quot;"/>
    <numFmt numFmtId="167" formatCode="&quot;True&quot;;&quot;True&quot;;&quot;False&quot;"/>
    <numFmt numFmtId="168" formatCode="&quot;On&quot;;&quot;On&quot;;&quot;Off&quot;"/>
    <numFmt numFmtId="169" formatCode="#,##0.0"/>
    <numFmt numFmtId="170" formatCode="0.0000E+00"/>
    <numFmt numFmtId="171" formatCode="[$€-2]\ #,##0.00_);[Red]\([$€-2]\ #,##0.00\)"/>
  </numFmts>
  <fonts count="58">
    <font>
      <sz val="11"/>
      <name val="Times New Roman"/>
      <family val="1"/>
    </font>
    <font>
      <sz val="10"/>
      <name val="Arial"/>
      <family val="0"/>
    </font>
    <font>
      <sz val="10"/>
      <color indexed="8"/>
      <name val="Times New Roman"/>
      <family val="1"/>
    </font>
    <font>
      <sz val="12"/>
      <color indexed="8"/>
      <name val="Times New Roman"/>
      <family val="1"/>
    </font>
    <font>
      <u val="single"/>
      <sz val="10"/>
      <color indexed="12"/>
      <name val="Arial"/>
      <family val="2"/>
    </font>
    <font>
      <u val="single"/>
      <sz val="10"/>
      <color indexed="36"/>
      <name val="Arial"/>
      <family val="2"/>
    </font>
    <font>
      <sz val="11"/>
      <color indexed="8"/>
      <name val="Times New Roman"/>
      <family val="1"/>
    </font>
    <font>
      <b/>
      <sz val="14"/>
      <color indexed="8"/>
      <name val="Times New Roman"/>
      <family val="1"/>
    </font>
    <font>
      <sz val="12"/>
      <name val="Times New Roman"/>
      <family val="1"/>
    </font>
    <font>
      <sz val="10"/>
      <name val="Times New Roman"/>
      <family val="1"/>
    </font>
    <font>
      <b/>
      <sz val="11"/>
      <name val="Times New Roman"/>
      <family val="1"/>
    </font>
    <font>
      <b/>
      <sz val="10"/>
      <color indexed="8"/>
      <name val="Times New Roman"/>
      <family val="1"/>
    </font>
    <font>
      <b/>
      <sz val="11"/>
      <color indexed="8"/>
      <name val="Times New Roman"/>
      <family val="1"/>
    </font>
    <font>
      <b/>
      <u val="single"/>
      <sz val="11"/>
      <name val="Times New Roman"/>
      <family val="1"/>
    </font>
    <font>
      <i/>
      <sz val="8"/>
      <color indexed="8"/>
      <name val="Times New Roman"/>
      <family val="1"/>
    </font>
    <font>
      <i/>
      <sz val="11"/>
      <color indexed="10"/>
      <name val="Times New Roman"/>
      <family val="1"/>
    </font>
    <font>
      <sz val="11"/>
      <color indexed="10"/>
      <name val="Times New Roman"/>
      <family val="1"/>
    </font>
    <font>
      <b/>
      <sz val="12"/>
      <name val="Times New Roman"/>
      <family val="1"/>
    </font>
    <font>
      <b/>
      <sz val="11"/>
      <color indexed="57"/>
      <name val="Times New Roman"/>
      <family val="1"/>
    </font>
    <font>
      <b/>
      <sz val="11"/>
      <color indexed="10"/>
      <name val="Times New Roman"/>
      <family val="1"/>
    </font>
    <font>
      <b/>
      <i/>
      <sz val="11"/>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lightTrellis"/>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10"/>
      </top>
      <bottom style="thin">
        <color indexed="10"/>
      </bottom>
    </border>
    <border>
      <left style="thin">
        <color indexed="8"/>
      </left>
      <right>
        <color indexed="63"/>
      </right>
      <top>
        <color indexed="63"/>
      </top>
      <bottom>
        <color indexed="63"/>
      </bottom>
    </border>
    <border>
      <left style="thin">
        <color indexed="8"/>
      </left>
      <right style="thin">
        <color indexed="8"/>
      </right>
      <top style="medium">
        <color indexed="8"/>
      </top>
      <bottom style="medium">
        <color indexed="8"/>
      </bottom>
    </border>
    <border>
      <left>
        <color indexed="63"/>
      </left>
      <right>
        <color indexed="63"/>
      </right>
      <top>
        <color indexed="63"/>
      </top>
      <bottom style="thin">
        <color indexed="10"/>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color indexed="8"/>
      </left>
      <right style="thin">
        <color indexed="8"/>
      </right>
      <top style="thin">
        <color indexed="8"/>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color indexed="63"/>
      </right>
      <top>
        <color indexed="63"/>
      </top>
      <bottom style="thin">
        <color indexed="8"/>
      </bottom>
    </border>
    <border>
      <left>
        <color indexed="63"/>
      </left>
      <right style="medium">
        <color indexed="8"/>
      </right>
      <top style="medium">
        <color indexed="8"/>
      </top>
      <bottom style="medium">
        <color indexed="8"/>
      </bottom>
    </border>
  </borders>
  <cellStyleXfs count="64">
    <xf numFmtId="4"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3" applyNumberFormat="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0" fillId="32" borderId="8" applyNumberFormat="0" applyFont="0" applyAlignment="0" applyProtection="0"/>
    <xf numFmtId="0" fontId="53" fillId="27" borderId="9"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128">
    <xf numFmtId="4" fontId="0" fillId="0" borderId="0" xfId="0" applyAlignment="1">
      <alignment/>
    </xf>
    <xf numFmtId="4" fontId="2" fillId="0" borderId="0" xfId="0" applyFont="1" applyAlignment="1">
      <alignment vertical="top" wrapText="1"/>
    </xf>
    <xf numFmtId="4" fontId="2" fillId="0" borderId="0" xfId="0" applyFont="1" applyAlignment="1">
      <alignment horizontal="center" vertical="top" wrapText="1"/>
    </xf>
    <xf numFmtId="4" fontId="3" fillId="0" borderId="0" xfId="0" applyFont="1" applyFill="1" applyBorder="1" applyAlignment="1">
      <alignment horizontal="center" vertical="top"/>
    </xf>
    <xf numFmtId="4" fontId="0" fillId="0" borderId="0" xfId="0" applyAlignment="1">
      <alignment/>
    </xf>
    <xf numFmtId="4" fontId="0" fillId="0" borderId="11" xfId="0" applyBorder="1" applyAlignment="1">
      <alignment/>
    </xf>
    <xf numFmtId="4" fontId="0" fillId="0" borderId="0" xfId="0" applyBorder="1" applyAlignment="1">
      <alignment/>
    </xf>
    <xf numFmtId="4" fontId="2" fillId="0" borderId="0" xfId="0" applyFont="1" applyAlignment="1" applyProtection="1">
      <alignment horizontal="center" vertical="top" wrapText="1"/>
      <protection locked="0"/>
    </xf>
    <xf numFmtId="4" fontId="0" fillId="0" borderId="0" xfId="0" applyAlignment="1" applyProtection="1">
      <alignment horizontal="left"/>
      <protection locked="0"/>
    </xf>
    <xf numFmtId="4" fontId="0" fillId="0" borderId="0" xfId="0" applyAlignment="1" applyProtection="1">
      <alignment wrapText="1"/>
      <protection locked="0"/>
    </xf>
    <xf numFmtId="4" fontId="0" fillId="0" borderId="0" xfId="0" applyAlignment="1" applyProtection="1">
      <alignment/>
      <protection locked="0"/>
    </xf>
    <xf numFmtId="4" fontId="0" fillId="0" borderId="0" xfId="0" applyAlignment="1" applyProtection="1">
      <alignment/>
      <protection hidden="1"/>
    </xf>
    <xf numFmtId="4" fontId="0" fillId="0" borderId="12" xfId="0" applyFill="1" applyBorder="1" applyAlignment="1" applyProtection="1">
      <alignment horizontal="center"/>
      <protection hidden="1"/>
    </xf>
    <xf numFmtId="165" fontId="0" fillId="0" borderId="0" xfId="0" applyNumberFormat="1" applyAlignment="1" applyProtection="1">
      <alignment/>
      <protection hidden="1"/>
    </xf>
    <xf numFmtId="4" fontId="0" fillId="0" borderId="0" xfId="0" applyAlignment="1">
      <alignment wrapText="1"/>
    </xf>
    <xf numFmtId="4" fontId="0" fillId="0" borderId="0" xfId="46" applyNumberFormat="1" applyFont="1" applyBorder="1" applyAlignment="1">
      <alignment/>
    </xf>
    <xf numFmtId="4" fontId="8" fillId="0" borderId="0" xfId="0" applyFont="1" applyAlignment="1">
      <alignment/>
    </xf>
    <xf numFmtId="4" fontId="8" fillId="0" borderId="0" xfId="0" applyFont="1" applyAlignment="1">
      <alignment horizontal="left"/>
    </xf>
    <xf numFmtId="3" fontId="0" fillId="0" borderId="0" xfId="0" applyNumberFormat="1" applyAlignment="1">
      <alignment/>
    </xf>
    <xf numFmtId="4" fontId="9" fillId="0" borderId="0" xfId="0" applyFont="1" applyAlignment="1">
      <alignment wrapText="1"/>
    </xf>
    <xf numFmtId="4" fontId="2" fillId="0" borderId="13" xfId="0" applyFont="1" applyBorder="1" applyAlignment="1" applyProtection="1">
      <alignment vertical="top" wrapText="1"/>
      <protection locked="0"/>
    </xf>
    <xf numFmtId="4" fontId="0" fillId="0" borderId="14" xfId="0" applyBorder="1" applyAlignment="1">
      <alignment/>
    </xf>
    <xf numFmtId="4" fontId="11" fillId="0" borderId="0" xfId="0" applyFont="1" applyAlignment="1">
      <alignment horizontal="center" wrapText="1"/>
    </xf>
    <xf numFmtId="4" fontId="2" fillId="0" borderId="13" xfId="0" applyFont="1" applyBorder="1" applyAlignment="1">
      <alignment vertical="top" wrapText="1"/>
    </xf>
    <xf numFmtId="4" fontId="2" fillId="0" borderId="0" xfId="0" applyFont="1" applyFill="1" applyBorder="1" applyAlignment="1">
      <alignment vertical="center" wrapText="1"/>
    </xf>
    <xf numFmtId="4" fontId="0" fillId="0" borderId="0" xfId="0" applyAlignment="1">
      <alignment vertical="center"/>
    </xf>
    <xf numFmtId="4" fontId="13" fillId="0" borderId="0" xfId="0" applyFont="1" applyBorder="1" applyAlignment="1">
      <alignment/>
    </xf>
    <xf numFmtId="4" fontId="0" fillId="0" borderId="15" xfId="0" applyBorder="1" applyAlignment="1">
      <alignment/>
    </xf>
    <xf numFmtId="4" fontId="0" fillId="0" borderId="16" xfId="0" applyBorder="1" applyAlignment="1">
      <alignment/>
    </xf>
    <xf numFmtId="4" fontId="0" fillId="0" borderId="13" xfId="0" applyFill="1" applyBorder="1" applyAlignment="1" applyProtection="1">
      <alignment horizontal="center" vertical="center"/>
      <protection/>
    </xf>
    <xf numFmtId="165" fontId="6" fillId="0" borderId="13" xfId="46" applyNumberFormat="1" applyFont="1" applyBorder="1" applyAlignment="1" applyProtection="1">
      <alignment horizontal="center" vertical="center" wrapText="1"/>
      <protection/>
    </xf>
    <xf numFmtId="4" fontId="10" fillId="0" borderId="0" xfId="0" applyFont="1" applyAlignment="1">
      <alignment horizontal="center" vertical="center"/>
    </xf>
    <xf numFmtId="4" fontId="11" fillId="0" borderId="17" xfId="0" applyFont="1" applyFill="1" applyBorder="1" applyAlignment="1">
      <alignment vertical="top" wrapText="1"/>
    </xf>
    <xf numFmtId="4" fontId="2" fillId="0" borderId="0" xfId="46" applyNumberFormat="1" applyFont="1" applyBorder="1" applyAlignment="1">
      <alignment vertical="top" wrapText="1"/>
    </xf>
    <xf numFmtId="4" fontId="2" fillId="0" borderId="18" xfId="0" applyFont="1" applyBorder="1" applyAlignment="1">
      <alignment horizontal="centerContinuous" vertical="top" wrapText="1"/>
    </xf>
    <xf numFmtId="4" fontId="0" fillId="0" borderId="0" xfId="0" applyBorder="1" applyAlignment="1">
      <alignment vertical="top" wrapText="1"/>
    </xf>
    <xf numFmtId="4" fontId="0" fillId="0" borderId="0" xfId="0" applyBorder="1" applyAlignment="1" applyProtection="1">
      <alignment wrapText="1"/>
      <protection hidden="1"/>
    </xf>
    <xf numFmtId="4" fontId="0" fillId="0" borderId="0" xfId="0" applyAlignment="1" applyProtection="1">
      <alignment wrapText="1"/>
      <protection hidden="1"/>
    </xf>
    <xf numFmtId="165" fontId="0" fillId="0" borderId="0" xfId="0" applyNumberFormat="1" applyAlignment="1" applyProtection="1">
      <alignment wrapText="1"/>
      <protection hidden="1"/>
    </xf>
    <xf numFmtId="4" fontId="0" fillId="0" borderId="0" xfId="0" applyFill="1" applyBorder="1" applyAlignment="1" applyProtection="1">
      <alignment wrapText="1"/>
      <protection hidden="1"/>
    </xf>
    <xf numFmtId="4" fontId="14" fillId="0" borderId="0" xfId="0" applyFont="1" applyFill="1" applyBorder="1" applyAlignment="1">
      <alignment vertical="top" wrapText="1"/>
    </xf>
    <xf numFmtId="4" fontId="14" fillId="0" borderId="0" xfId="0" applyFont="1" applyFill="1" applyBorder="1" applyAlignment="1">
      <alignment horizontal="left" vertical="top"/>
    </xf>
    <xf numFmtId="4" fontId="9" fillId="0" borderId="11" xfId="0" applyFont="1" applyBorder="1" applyAlignment="1">
      <alignment/>
    </xf>
    <xf numFmtId="4" fontId="9" fillId="0" borderId="14" xfId="0" applyFont="1" applyBorder="1" applyAlignment="1">
      <alignment/>
    </xf>
    <xf numFmtId="4" fontId="10" fillId="0" borderId="0" xfId="0" applyFont="1" applyBorder="1" applyAlignment="1" applyProtection="1">
      <alignment wrapText="1"/>
      <protection hidden="1"/>
    </xf>
    <xf numFmtId="4" fontId="10" fillId="0" borderId="0" xfId="0" applyFont="1" applyAlignment="1" applyProtection="1">
      <alignment wrapText="1"/>
      <protection hidden="1"/>
    </xf>
    <xf numFmtId="4" fontId="10" fillId="0" borderId="0" xfId="0" applyFont="1" applyAlignment="1" applyProtection="1">
      <alignment horizontal="right" wrapText="1"/>
      <protection hidden="1"/>
    </xf>
    <xf numFmtId="4" fontId="15" fillId="0" borderId="0" xfId="0" applyFont="1" applyAlignment="1">
      <alignment/>
    </xf>
    <xf numFmtId="2" fontId="0" fillId="0" borderId="0" xfId="0" applyNumberFormat="1" applyAlignment="1">
      <alignment/>
    </xf>
    <xf numFmtId="2" fontId="0" fillId="0" borderId="0" xfId="0" applyNumberFormat="1" applyAlignment="1" applyProtection="1">
      <alignment/>
      <protection hidden="1"/>
    </xf>
    <xf numFmtId="170" fontId="0" fillId="0" borderId="0" xfId="0" applyNumberFormat="1" applyAlignment="1">
      <alignment/>
    </xf>
    <xf numFmtId="170" fontId="0" fillId="0" borderId="0" xfId="0" applyNumberFormat="1" applyAlignment="1" applyProtection="1">
      <alignment/>
      <protection hidden="1"/>
    </xf>
    <xf numFmtId="4" fontId="0" fillId="0" borderId="19" xfId="0" applyBorder="1" applyAlignment="1">
      <alignment/>
    </xf>
    <xf numFmtId="4" fontId="0" fillId="0" borderId="17" xfId="0" applyBorder="1" applyAlignment="1">
      <alignment/>
    </xf>
    <xf numFmtId="4" fontId="14" fillId="0" borderId="20" xfId="0" applyFont="1" applyFill="1" applyBorder="1" applyAlignment="1">
      <alignment vertical="top" wrapText="1"/>
    </xf>
    <xf numFmtId="4" fontId="0" fillId="0" borderId="21" xfId="0" applyBorder="1" applyAlignment="1">
      <alignment/>
    </xf>
    <xf numFmtId="4" fontId="0" fillId="0" borderId="22" xfId="0" applyBorder="1" applyAlignment="1">
      <alignment/>
    </xf>
    <xf numFmtId="4" fontId="10" fillId="0" borderId="23" xfId="0" applyFont="1" applyBorder="1" applyAlignment="1">
      <alignment/>
    </xf>
    <xf numFmtId="4" fontId="10" fillId="0" borderId="0" xfId="0" applyFont="1" applyBorder="1" applyAlignment="1">
      <alignment horizontal="center"/>
    </xf>
    <xf numFmtId="4" fontId="0" fillId="0" borderId="24" xfId="0" applyBorder="1" applyAlignment="1">
      <alignment wrapText="1"/>
    </xf>
    <xf numFmtId="4" fontId="0" fillId="0" borderId="25" xfId="0" applyBorder="1" applyAlignment="1">
      <alignment wrapText="1"/>
    </xf>
    <xf numFmtId="4" fontId="0" fillId="0" borderId="26" xfId="0" applyBorder="1" applyAlignment="1">
      <alignment wrapText="1"/>
    </xf>
    <xf numFmtId="4" fontId="2" fillId="0" borderId="27" xfId="0" applyFont="1" applyBorder="1" applyAlignment="1">
      <alignment horizontal="center" vertical="top" wrapText="1"/>
    </xf>
    <xf numFmtId="0" fontId="2" fillId="0" borderId="27" xfId="46" applyFont="1" applyBorder="1" applyAlignment="1">
      <alignment horizontal="center" vertical="top" wrapText="1"/>
    </xf>
    <xf numFmtId="4" fontId="2" fillId="0" borderId="27" xfId="0" applyFont="1" applyFill="1" applyBorder="1" applyAlignment="1">
      <alignment horizontal="center" vertical="top" wrapText="1"/>
    </xf>
    <xf numFmtId="4" fontId="2" fillId="0" borderId="24" xfId="0" applyFont="1" applyBorder="1" applyAlignment="1">
      <alignment vertical="top" wrapText="1"/>
    </xf>
    <xf numFmtId="4" fontId="0" fillId="0" borderId="25" xfId="0" applyBorder="1" applyAlignment="1">
      <alignment horizontal="center" vertical="center"/>
    </xf>
    <xf numFmtId="4" fontId="0" fillId="0" borderId="26" xfId="0" applyBorder="1" applyAlignment="1">
      <alignment horizontal="center" vertical="center"/>
    </xf>
    <xf numFmtId="4" fontId="0" fillId="0" borderId="0" xfId="0" applyAlignment="1" applyProtection="1">
      <alignment vertical="center"/>
      <protection/>
    </xf>
    <xf numFmtId="4" fontId="2" fillId="33" borderId="0" xfId="0" applyFont="1" applyFill="1" applyAlignment="1" applyProtection="1">
      <alignment horizontal="left" vertical="top"/>
      <protection locked="0"/>
    </xf>
    <xf numFmtId="4" fontId="0" fillId="33" borderId="0" xfId="0" applyFill="1" applyAlignment="1" applyProtection="1">
      <alignment horizontal="left"/>
      <protection locked="0"/>
    </xf>
    <xf numFmtId="4" fontId="2" fillId="0" borderId="18" xfId="0" applyFont="1" applyFill="1" applyBorder="1" applyAlignment="1">
      <alignment horizontal="center" vertical="top" wrapText="1"/>
    </xf>
    <xf numFmtId="4" fontId="0" fillId="34" borderId="28" xfId="0" applyFill="1" applyBorder="1" applyAlignment="1" applyProtection="1">
      <alignment horizontal="center" vertical="center"/>
      <protection/>
    </xf>
    <xf numFmtId="4" fontId="17" fillId="0" borderId="0" xfId="0" applyFont="1" applyAlignment="1">
      <alignment horizontal="left"/>
    </xf>
    <xf numFmtId="4" fontId="10" fillId="0" borderId="0" xfId="0" applyFont="1" applyAlignment="1">
      <alignment/>
    </xf>
    <xf numFmtId="4" fontId="0" fillId="0" borderId="29" xfId="0" applyBorder="1" applyAlignment="1" applyProtection="1">
      <alignment horizontal="center" vertical="center"/>
      <protection/>
    </xf>
    <xf numFmtId="3" fontId="0" fillId="0" borderId="0" xfId="0" applyNumberFormat="1" applyAlignment="1" applyProtection="1">
      <alignment wrapText="1"/>
      <protection hidden="1"/>
    </xf>
    <xf numFmtId="3" fontId="0" fillId="0" borderId="0" xfId="0" applyNumberFormat="1" applyBorder="1" applyAlignment="1" applyProtection="1">
      <alignment wrapText="1"/>
      <protection hidden="1"/>
    </xf>
    <xf numFmtId="4" fontId="0" fillId="34" borderId="29" xfId="0" applyFill="1" applyBorder="1" applyAlignment="1" applyProtection="1">
      <alignment horizontal="center" vertical="center"/>
      <protection/>
    </xf>
    <xf numFmtId="4" fontId="0" fillId="0" borderId="13" xfId="0" applyBorder="1" applyAlignment="1" applyProtection="1">
      <alignment horizontal="right" vertical="center"/>
      <protection/>
    </xf>
    <xf numFmtId="4" fontId="0" fillId="0" borderId="13" xfId="0" applyFill="1" applyBorder="1" applyAlignment="1" applyProtection="1">
      <alignment horizontal="right" vertical="center"/>
      <protection/>
    </xf>
    <xf numFmtId="4" fontId="6" fillId="0" borderId="13" xfId="0" applyFont="1" applyBorder="1" applyAlignment="1">
      <alignment vertical="center" wrapText="1"/>
    </xf>
    <xf numFmtId="4" fontId="2" fillId="0" borderId="27" xfId="0" applyFont="1" applyBorder="1" applyAlignment="1" quotePrefix="1">
      <alignment horizontal="center" vertical="top" wrapText="1"/>
    </xf>
    <xf numFmtId="4" fontId="0" fillId="34" borderId="28" xfId="0" applyFont="1" applyFill="1" applyBorder="1" applyAlignment="1" applyProtection="1">
      <alignment horizontal="center" vertical="center"/>
      <protection/>
    </xf>
    <xf numFmtId="4" fontId="0" fillId="0" borderId="30" xfId="0" applyFont="1" applyFill="1" applyBorder="1" applyAlignment="1" applyProtection="1">
      <alignment horizontal="center" vertical="center"/>
      <protection/>
    </xf>
    <xf numFmtId="4" fontId="12" fillId="0" borderId="27" xfId="0" applyFont="1" applyBorder="1" applyAlignment="1">
      <alignment horizontal="center" vertical="top" wrapText="1"/>
    </xf>
    <xf numFmtId="3" fontId="2" fillId="0" borderId="30" xfId="0" applyNumberFormat="1" applyFont="1" applyBorder="1" applyAlignment="1" applyProtection="1">
      <alignment horizontal="right" vertical="center" wrapText="1"/>
      <protection/>
    </xf>
    <xf numFmtId="3" fontId="2" fillId="33" borderId="31" xfId="0" applyNumberFormat="1" applyFont="1" applyFill="1" applyBorder="1" applyAlignment="1" applyProtection="1">
      <alignment horizontal="right" vertical="center" wrapText="1"/>
      <protection locked="0"/>
    </xf>
    <xf numFmtId="4" fontId="11" fillId="0" borderId="0" xfId="0" applyFont="1" applyAlignment="1">
      <alignment vertical="center" wrapText="1"/>
    </xf>
    <xf numFmtId="4" fontId="2" fillId="0" borderId="0" xfId="0" applyFont="1" applyAlignment="1" applyProtection="1">
      <alignment vertical="top"/>
      <protection locked="0"/>
    </xf>
    <xf numFmtId="4" fontId="16" fillId="0" borderId="0" xfId="0" applyFont="1" applyAlignment="1">
      <alignment/>
    </xf>
    <xf numFmtId="4" fontId="18" fillId="0" borderId="0" xfId="0" applyFont="1" applyAlignment="1">
      <alignment/>
    </xf>
    <xf numFmtId="4" fontId="2" fillId="0" borderId="32" xfId="0" applyFont="1" applyBorder="1" applyAlignment="1" applyProtection="1">
      <alignment horizontal="left" vertical="top" wrapText="1"/>
      <protection locked="0"/>
    </xf>
    <xf numFmtId="4" fontId="0" fillId="34" borderId="33" xfId="0" applyFont="1" applyFill="1" applyBorder="1" applyAlignment="1" applyProtection="1">
      <alignment horizontal="center" vertical="center"/>
      <protection/>
    </xf>
    <xf numFmtId="4" fontId="0" fillId="0" borderId="29" xfId="0" applyFont="1" applyFill="1" applyBorder="1" applyAlignment="1" applyProtection="1">
      <alignment horizontal="center" vertical="center"/>
      <protection/>
    </xf>
    <xf numFmtId="4" fontId="0" fillId="34" borderId="13" xfId="0" applyFont="1" applyFill="1" applyBorder="1" applyAlignment="1" applyProtection="1">
      <alignment horizontal="center" vertical="center"/>
      <protection/>
    </xf>
    <xf numFmtId="4" fontId="0" fillId="0" borderId="13" xfId="0" applyFont="1" applyFill="1" applyBorder="1" applyAlignment="1" applyProtection="1">
      <alignment horizontal="center" vertical="center"/>
      <protection/>
    </xf>
    <xf numFmtId="4" fontId="0" fillId="34" borderId="13" xfId="0" applyFont="1" applyFill="1" applyBorder="1" applyAlignment="1" applyProtection="1">
      <alignment horizontal="center" vertical="center"/>
      <protection/>
    </xf>
    <xf numFmtId="4" fontId="10" fillId="0" borderId="0" xfId="0" applyFont="1" applyBorder="1" applyAlignment="1" quotePrefix="1">
      <alignment/>
    </xf>
    <xf numFmtId="4" fontId="10" fillId="0" borderId="0" xfId="0" applyFont="1" applyBorder="1" applyAlignment="1">
      <alignment/>
    </xf>
    <xf numFmtId="4" fontId="19" fillId="0" borderId="0" xfId="0" applyFont="1" applyAlignment="1">
      <alignment/>
    </xf>
    <xf numFmtId="4" fontId="0" fillId="0" borderId="0" xfId="0" applyAlignment="1" quotePrefix="1">
      <alignment/>
    </xf>
    <xf numFmtId="4" fontId="20" fillId="0" borderId="0" xfId="0" applyFont="1" applyAlignment="1">
      <alignment/>
    </xf>
    <xf numFmtId="4" fontId="0" fillId="0" borderId="0" xfId="0" applyFont="1" applyBorder="1" applyAlignment="1">
      <alignment wrapText="1"/>
    </xf>
    <xf numFmtId="4" fontId="0" fillId="0" borderId="25" xfId="0" applyFont="1" applyBorder="1" applyAlignment="1">
      <alignment wrapText="1"/>
    </xf>
    <xf numFmtId="4" fontId="2" fillId="33" borderId="0" xfId="0" applyFont="1" applyFill="1" applyAlignment="1" applyProtection="1">
      <alignment horizontal="left" vertical="top" wrapText="1"/>
      <protection locked="0"/>
    </xf>
    <xf numFmtId="4" fontId="2" fillId="0" borderId="0" xfId="0" applyFont="1" applyAlignment="1" applyProtection="1">
      <alignment vertical="top" wrapText="1"/>
      <protection locked="0"/>
    </xf>
    <xf numFmtId="4" fontId="2" fillId="0" borderId="0" xfId="0" applyFont="1" applyFill="1" applyBorder="1" applyAlignment="1">
      <alignment horizontal="center" vertical="top" wrapText="1"/>
    </xf>
    <xf numFmtId="4" fontId="0" fillId="34" borderId="0" xfId="0" applyFill="1" applyBorder="1" applyAlignment="1" applyProtection="1">
      <alignment horizontal="center" vertical="center"/>
      <protection/>
    </xf>
    <xf numFmtId="4" fontId="0" fillId="0" borderId="0" xfId="0" applyFill="1" applyBorder="1" applyAlignment="1" applyProtection="1">
      <alignment horizontal="center" vertical="center"/>
      <protection/>
    </xf>
    <xf numFmtId="3" fontId="21" fillId="33" borderId="31" xfId="0" applyNumberFormat="1" applyFont="1" applyFill="1" applyBorder="1" applyAlignment="1" applyProtection="1">
      <alignment horizontal="right" vertical="center" wrapText="1"/>
      <protection locked="0"/>
    </xf>
    <xf numFmtId="4" fontId="0" fillId="0" borderId="0" xfId="0" applyFont="1" applyAlignment="1">
      <alignment/>
    </xf>
    <xf numFmtId="4" fontId="2" fillId="0" borderId="13" xfId="0" applyFont="1" applyFill="1" applyBorder="1" applyAlignment="1">
      <alignment vertical="top" wrapText="1"/>
    </xf>
    <xf numFmtId="3" fontId="2" fillId="0" borderId="31" xfId="0" applyNumberFormat="1" applyFont="1" applyFill="1" applyBorder="1" applyAlignment="1" applyProtection="1">
      <alignment horizontal="right" vertical="center" wrapText="1"/>
      <protection locked="0"/>
    </xf>
    <xf numFmtId="4" fontId="0" fillId="0" borderId="0" xfId="0" applyFill="1" applyAlignment="1">
      <alignment/>
    </xf>
    <xf numFmtId="3" fontId="6" fillId="33" borderId="31" xfId="0" applyNumberFormat="1" applyFont="1" applyFill="1" applyBorder="1" applyAlignment="1" applyProtection="1">
      <alignment horizontal="right" vertical="center" wrapText="1"/>
      <protection locked="0"/>
    </xf>
    <xf numFmtId="3" fontId="6" fillId="0" borderId="30" xfId="0" applyNumberFormat="1" applyFont="1" applyBorder="1" applyAlignment="1" applyProtection="1">
      <alignment horizontal="right" vertical="center" wrapText="1"/>
      <protection/>
    </xf>
    <xf numFmtId="3" fontId="6" fillId="0" borderId="31" xfId="0" applyNumberFormat="1" applyFont="1" applyFill="1" applyBorder="1" applyAlignment="1" applyProtection="1">
      <alignment horizontal="right" vertical="center" wrapText="1"/>
      <protection locked="0"/>
    </xf>
    <xf numFmtId="4" fontId="57" fillId="0" borderId="0" xfId="0" applyFont="1" applyAlignment="1">
      <alignment/>
    </xf>
    <xf numFmtId="4" fontId="0" fillId="33" borderId="0" xfId="0" applyFill="1" applyAlignment="1">
      <alignment vertical="top" wrapText="1"/>
    </xf>
    <xf numFmtId="4" fontId="7" fillId="0" borderId="0" xfId="0" applyFont="1" applyBorder="1" applyAlignment="1">
      <alignment vertical="top" wrapText="1"/>
    </xf>
    <xf numFmtId="4" fontId="0" fillId="0" borderId="0" xfId="0" applyAlignment="1">
      <alignment/>
    </xf>
    <xf numFmtId="4" fontId="2" fillId="33" borderId="0" xfId="0" applyFont="1" applyFill="1" applyAlignment="1" applyProtection="1">
      <alignment horizontal="center" vertical="top" wrapText="1"/>
      <protection locked="0"/>
    </xf>
    <xf numFmtId="4" fontId="10" fillId="0" borderId="0" xfId="0" applyFont="1" applyBorder="1" applyAlignment="1">
      <alignment vertical="center" wrapText="1"/>
    </xf>
    <xf numFmtId="4" fontId="0" fillId="0" borderId="0" xfId="0" applyAlignment="1">
      <alignment wrapText="1"/>
    </xf>
    <xf numFmtId="4" fontId="15" fillId="0" borderId="0" xfId="0" applyFont="1" applyAlignment="1">
      <alignment wrapText="1"/>
    </xf>
    <xf numFmtId="4" fontId="16" fillId="0" borderId="0" xfId="0" applyFont="1" applyAlignment="1" applyProtection="1">
      <alignment wrapText="1"/>
      <protection hidden="1"/>
    </xf>
    <xf numFmtId="4" fontId="8"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ntry"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dxfs count="9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b/>
        <i val="0"/>
        <color indexed="10"/>
      </font>
    </dxf>
    <dxf>
      <font>
        <b/>
        <i val="0"/>
        <color indexed="10"/>
      </font>
    </dxf>
    <dxf>
      <font>
        <color indexed="23"/>
      </font>
    </dxf>
    <dxf>
      <font>
        <b val="0"/>
        <i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color indexed="23"/>
      </font>
    </dxf>
    <dxf>
      <font>
        <b val="0"/>
        <i val="0"/>
        <strike val="0"/>
        <color indexed="8"/>
      </font>
    </dxf>
    <dxf>
      <font>
        <b/>
        <i val="0"/>
        <u val="none"/>
        <strike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color indexed="10"/>
      </font>
    </dxf>
    <dxf>
      <font>
        <color indexed="23"/>
      </font>
    </dxf>
    <dxf>
      <font>
        <b val="0"/>
        <i val="0"/>
        <color indexed="8"/>
      </font>
    </dxf>
    <dxf>
      <font>
        <b/>
        <i val="0"/>
        <u val="none"/>
        <strike val="0"/>
        <color indexed="10"/>
      </font>
    </dxf>
    <dxf>
      <font>
        <b/>
        <i val="0"/>
        <u val="none"/>
        <strike val="0"/>
        <color rgb="FFFF0000"/>
      </font>
      <border/>
    </dxf>
    <dxf>
      <font>
        <b val="0"/>
        <i val="0"/>
        <color rgb="FF000000"/>
      </font>
      <border/>
    </dxf>
    <dxf>
      <font>
        <color rgb="FF808080"/>
      </font>
      <border/>
    </dxf>
    <dxf>
      <font>
        <b/>
        <i/>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zoomScalePageLayoutView="0" workbookViewId="0" topLeftCell="A1">
      <selection activeCell="J15" sqref="J15"/>
    </sheetView>
  </sheetViews>
  <sheetFormatPr defaultColWidth="9.140625" defaultRowHeight="15"/>
  <cols>
    <col min="1" max="1" width="64.8515625" style="0" customWidth="1"/>
    <col min="2" max="2" width="7.140625" style="0" bestFit="1" customWidth="1"/>
    <col min="3" max="3" width="8.00390625" style="0" customWidth="1"/>
    <col min="4" max="4" width="8.28125" style="0" bestFit="1" customWidth="1"/>
    <col min="5" max="5" width="8.00390625" style="0" bestFit="1" customWidth="1"/>
    <col min="6" max="6" width="7.57421875" style="0" customWidth="1"/>
    <col min="7" max="7" width="7.8515625" style="0" bestFit="1" customWidth="1"/>
    <col min="8" max="8" width="8.28125" style="0" bestFit="1" customWidth="1"/>
    <col min="9" max="9" width="5.8515625" style="0" bestFit="1" customWidth="1"/>
    <col min="10" max="10" width="9.140625" style="0" bestFit="1" customWidth="1"/>
  </cols>
  <sheetData>
    <row r="1" spans="1:10" ht="25.5" customHeight="1">
      <c r="A1" s="22" t="s">
        <v>0</v>
      </c>
      <c r="B1" s="120" t="s">
        <v>1</v>
      </c>
      <c r="C1" s="121"/>
      <c r="D1" s="121"/>
      <c r="E1" s="121"/>
      <c r="F1" s="121"/>
      <c r="G1" s="121"/>
      <c r="H1" s="121"/>
      <c r="I1" s="4"/>
      <c r="J1" s="4"/>
    </row>
    <row r="2" spans="1:7" ht="13.5">
      <c r="A2" s="105" t="s">
        <v>101</v>
      </c>
      <c r="B2" s="7"/>
      <c r="C2" s="2"/>
      <c r="D2" s="2"/>
      <c r="E2" s="2"/>
      <c r="F2" s="2"/>
      <c r="G2" s="4"/>
    </row>
    <row r="3" spans="1:8" ht="15" customHeight="1">
      <c r="A3" s="105" t="s">
        <v>122</v>
      </c>
      <c r="B3" s="7"/>
      <c r="C3" s="69" t="s">
        <v>102</v>
      </c>
      <c r="D3" s="70"/>
      <c r="E3" s="70"/>
      <c r="F3" s="70"/>
      <c r="G3" s="8"/>
      <c r="H3" s="8"/>
    </row>
    <row r="4" spans="1:8" ht="15" customHeight="1">
      <c r="A4" s="7"/>
      <c r="B4" s="7"/>
      <c r="C4" s="122" t="s">
        <v>121</v>
      </c>
      <c r="D4" s="122"/>
      <c r="E4" s="122"/>
      <c r="F4" s="122"/>
      <c r="G4" s="9"/>
      <c r="H4" s="10"/>
    </row>
    <row r="5" spans="1:11" ht="66" thickBot="1">
      <c r="A5" s="14"/>
      <c r="B5" s="19" t="s">
        <v>2</v>
      </c>
      <c r="C5" s="19" t="s">
        <v>3</v>
      </c>
      <c r="D5" s="19" t="s">
        <v>4</v>
      </c>
      <c r="E5" s="19" t="s">
        <v>5</v>
      </c>
      <c r="F5" s="19" t="s">
        <v>6</v>
      </c>
      <c r="G5" s="19" t="s">
        <v>7</v>
      </c>
      <c r="H5" s="19" t="s">
        <v>8</v>
      </c>
      <c r="I5" s="19" t="s">
        <v>9</v>
      </c>
      <c r="J5" s="19" t="s">
        <v>10</v>
      </c>
      <c r="K5" s="14"/>
    </row>
    <row r="6" spans="1:11" ht="15" thickBot="1">
      <c r="A6" s="20" t="s">
        <v>100</v>
      </c>
      <c r="B6" s="110">
        <f>SUM(C6,D6,E6,F6,H6)</f>
        <v>18571</v>
      </c>
      <c r="C6" s="110">
        <v>15248</v>
      </c>
      <c r="D6" s="110">
        <v>640</v>
      </c>
      <c r="E6" s="110">
        <v>1204</v>
      </c>
      <c r="F6" s="110">
        <v>251</v>
      </c>
      <c r="G6" s="110">
        <v>0</v>
      </c>
      <c r="H6" s="110">
        <v>1228</v>
      </c>
      <c r="I6" s="110">
        <v>0</v>
      </c>
      <c r="J6" s="86">
        <f>SUM(D6,E6,F6,H6)</f>
        <v>3323</v>
      </c>
      <c r="K6" s="118" t="s">
        <v>123</v>
      </c>
    </row>
    <row r="7" spans="1:10" ht="14.25" thickBot="1">
      <c r="A7" s="23" t="s">
        <v>11</v>
      </c>
      <c r="B7" s="110">
        <f aca="true" t="shared" si="0" ref="B7:B15">SUM(C7,D7,E7,F7,H7)</f>
        <v>567</v>
      </c>
      <c r="C7" s="87">
        <v>325</v>
      </c>
      <c r="D7" s="115">
        <v>29</v>
      </c>
      <c r="E7" s="115">
        <v>12</v>
      </c>
      <c r="F7" s="115">
        <v>1</v>
      </c>
      <c r="G7" s="115">
        <v>5</v>
      </c>
      <c r="H7" s="115">
        <v>200</v>
      </c>
      <c r="I7" s="115">
        <v>0</v>
      </c>
      <c r="J7" s="116">
        <f>SUM(D7:I7)</f>
        <v>247</v>
      </c>
    </row>
    <row r="8" spans="1:10" ht="14.25" thickBot="1">
      <c r="A8" s="23" t="s">
        <v>12</v>
      </c>
      <c r="B8" s="110">
        <f t="shared" si="0"/>
        <v>567</v>
      </c>
      <c r="C8" s="87">
        <f>C7</f>
        <v>325</v>
      </c>
      <c r="D8" s="87">
        <f aca="true" t="shared" si="1" ref="D8:I8">D7</f>
        <v>29</v>
      </c>
      <c r="E8" s="87">
        <f t="shared" si="1"/>
        <v>12</v>
      </c>
      <c r="F8" s="87">
        <f t="shared" si="1"/>
        <v>1</v>
      </c>
      <c r="G8" s="87">
        <f t="shared" si="1"/>
        <v>5</v>
      </c>
      <c r="H8" s="87">
        <f t="shared" si="1"/>
        <v>200</v>
      </c>
      <c r="I8" s="87">
        <f t="shared" si="1"/>
        <v>0</v>
      </c>
      <c r="J8" s="116">
        <f aca="true" t="shared" si="2" ref="J8:J15">SUM(D8:I8)</f>
        <v>247</v>
      </c>
    </row>
    <row r="9" spans="1:10" ht="14.25" thickBot="1">
      <c r="A9" s="23" t="s">
        <v>13</v>
      </c>
      <c r="B9" s="110">
        <f t="shared" si="0"/>
        <v>341</v>
      </c>
      <c r="C9" s="87">
        <v>212</v>
      </c>
      <c r="D9" s="115">
        <v>19</v>
      </c>
      <c r="E9" s="115">
        <v>6</v>
      </c>
      <c r="F9" s="115">
        <v>1</v>
      </c>
      <c r="G9" s="115">
        <v>5</v>
      </c>
      <c r="H9" s="115">
        <v>103</v>
      </c>
      <c r="I9" s="115">
        <v>0</v>
      </c>
      <c r="J9" s="116">
        <f t="shared" si="2"/>
        <v>134</v>
      </c>
    </row>
    <row r="10" spans="1:10" s="114" customFormat="1" ht="14.25" thickBot="1">
      <c r="A10" s="112" t="s">
        <v>14</v>
      </c>
      <c r="B10" s="110">
        <f t="shared" si="0"/>
        <v>402</v>
      </c>
      <c r="C10" s="113">
        <v>216</v>
      </c>
      <c r="D10" s="117">
        <v>21</v>
      </c>
      <c r="E10" s="117">
        <v>11</v>
      </c>
      <c r="F10" s="117">
        <v>0</v>
      </c>
      <c r="G10" s="117">
        <v>0</v>
      </c>
      <c r="H10" s="117">
        <v>154</v>
      </c>
      <c r="I10" s="117">
        <v>0</v>
      </c>
      <c r="J10" s="116">
        <f t="shared" si="2"/>
        <v>186</v>
      </c>
    </row>
    <row r="11" spans="1:10" ht="14.25" thickBot="1">
      <c r="A11" s="23" t="s">
        <v>51</v>
      </c>
      <c r="B11" s="110">
        <f t="shared" si="0"/>
        <v>152</v>
      </c>
      <c r="C11" s="87">
        <v>84</v>
      </c>
      <c r="D11" s="115">
        <v>8</v>
      </c>
      <c r="E11" s="115">
        <v>3</v>
      </c>
      <c r="F11" s="115">
        <v>0</v>
      </c>
      <c r="G11" s="115">
        <v>0</v>
      </c>
      <c r="H11" s="115">
        <v>57</v>
      </c>
      <c r="I11" s="115">
        <v>0</v>
      </c>
      <c r="J11" s="116">
        <f t="shared" si="2"/>
        <v>68</v>
      </c>
    </row>
    <row r="12" spans="1:10" ht="14.25" thickBot="1">
      <c r="A12" s="23" t="s">
        <v>15</v>
      </c>
      <c r="B12" s="110">
        <f t="shared" si="0"/>
        <v>152</v>
      </c>
      <c r="C12" s="87">
        <f>C11</f>
        <v>84</v>
      </c>
      <c r="D12" s="87">
        <f aca="true" t="shared" si="3" ref="D12:I12">D11</f>
        <v>8</v>
      </c>
      <c r="E12" s="87">
        <f t="shared" si="3"/>
        <v>3</v>
      </c>
      <c r="F12" s="87">
        <f t="shared" si="3"/>
        <v>0</v>
      </c>
      <c r="G12" s="87">
        <f t="shared" si="3"/>
        <v>0</v>
      </c>
      <c r="H12" s="87">
        <f t="shared" si="3"/>
        <v>57</v>
      </c>
      <c r="I12" s="87">
        <f t="shared" si="3"/>
        <v>0</v>
      </c>
      <c r="J12" s="116">
        <f t="shared" si="2"/>
        <v>68</v>
      </c>
    </row>
    <row r="13" spans="1:10" s="114" customFormat="1" ht="14.25" thickBot="1">
      <c r="A13" s="112" t="s">
        <v>16</v>
      </c>
      <c r="B13" s="110">
        <f t="shared" si="0"/>
        <v>152</v>
      </c>
      <c r="C13" s="87">
        <f>C11</f>
        <v>84</v>
      </c>
      <c r="D13" s="87">
        <f aca="true" t="shared" si="4" ref="D13:I13">D11</f>
        <v>8</v>
      </c>
      <c r="E13" s="87">
        <f t="shared" si="4"/>
        <v>3</v>
      </c>
      <c r="F13" s="87">
        <f t="shared" si="4"/>
        <v>0</v>
      </c>
      <c r="G13" s="87">
        <f t="shared" si="4"/>
        <v>0</v>
      </c>
      <c r="H13" s="87">
        <f t="shared" si="4"/>
        <v>57</v>
      </c>
      <c r="I13" s="87">
        <f t="shared" si="4"/>
        <v>0</v>
      </c>
      <c r="J13" s="116">
        <f t="shared" si="2"/>
        <v>68</v>
      </c>
    </row>
    <row r="14" spans="1:10" s="114" customFormat="1" ht="14.25" thickBot="1">
      <c r="A14" s="112" t="s">
        <v>17</v>
      </c>
      <c r="B14" s="110">
        <f t="shared" si="0"/>
        <v>22</v>
      </c>
      <c r="C14" s="113">
        <v>12</v>
      </c>
      <c r="D14" s="117">
        <v>4</v>
      </c>
      <c r="E14" s="117">
        <v>0</v>
      </c>
      <c r="F14" s="117">
        <v>0</v>
      </c>
      <c r="G14" s="117">
        <v>0</v>
      </c>
      <c r="H14" s="117">
        <v>6</v>
      </c>
      <c r="I14" s="117">
        <v>0</v>
      </c>
      <c r="J14" s="116">
        <f t="shared" si="2"/>
        <v>10</v>
      </c>
    </row>
    <row r="15" spans="1:10" ht="14.25" thickBot="1">
      <c r="A15" s="23" t="s">
        <v>18</v>
      </c>
      <c r="B15" s="110">
        <f t="shared" si="0"/>
        <v>4</v>
      </c>
      <c r="C15" s="87">
        <v>1</v>
      </c>
      <c r="D15" s="115">
        <v>0</v>
      </c>
      <c r="E15" s="115">
        <v>0</v>
      </c>
      <c r="F15" s="115">
        <v>0</v>
      </c>
      <c r="G15" s="115">
        <v>0</v>
      </c>
      <c r="H15" s="115">
        <v>3</v>
      </c>
      <c r="I15" s="115">
        <v>0</v>
      </c>
      <c r="J15" s="116">
        <f t="shared" si="2"/>
        <v>3</v>
      </c>
    </row>
    <row r="16" spans="1:10" s="25" customFormat="1" ht="13.5">
      <c r="A16" s="24" t="s">
        <v>98</v>
      </c>
      <c r="C16" s="31" t="str">
        <f>IF((C6&gt;($B6/100)),"Yes","No")</f>
        <v>Yes</v>
      </c>
      <c r="D16" s="31" t="str">
        <f>IF((D6&gt;($B6/100)),"Yes","No")</f>
        <v>Yes</v>
      </c>
      <c r="E16" s="31" t="str">
        <f>IF((E6&gt;($B6/100)),"Yes","No")</f>
        <v>Yes</v>
      </c>
      <c r="F16" s="31" t="str">
        <f>IF((F6&gt;($B6/100)),"Yes","No")</f>
        <v>Yes</v>
      </c>
      <c r="G16" s="31" t="s">
        <v>117</v>
      </c>
      <c r="H16" s="31" t="str">
        <f>IF((H6&gt;($B6/100)),"Yes","No")</f>
        <v>Yes</v>
      </c>
      <c r="I16" s="31" t="s">
        <v>117</v>
      </c>
      <c r="J16" s="68"/>
    </row>
    <row r="17" ht="13.5">
      <c r="A17" s="40" t="str">
        <f>'Black or African-American'!B16</f>
        <v>release 10/30/05</v>
      </c>
    </row>
    <row r="18" spans="1:9" ht="13.5">
      <c r="A18" s="33" t="s">
        <v>19</v>
      </c>
      <c r="B18" s="33"/>
      <c r="C18" s="33"/>
      <c r="D18" s="33"/>
      <c r="E18" s="33"/>
      <c r="F18" s="33"/>
      <c r="G18" s="33"/>
      <c r="H18" s="15"/>
      <c r="I18" s="15"/>
    </row>
    <row r="19" spans="1:9" ht="13.5">
      <c r="A19" s="119" t="s">
        <v>120</v>
      </c>
      <c r="B19" s="119"/>
      <c r="C19" s="14"/>
      <c r="D19" s="119" t="s">
        <v>105</v>
      </c>
      <c r="E19" s="119"/>
      <c r="F19" s="119"/>
      <c r="G19" s="119"/>
      <c r="H19" s="119"/>
      <c r="I19" s="119"/>
    </row>
    <row r="20" spans="1:9" ht="15" customHeight="1">
      <c r="A20" s="119" t="s">
        <v>103</v>
      </c>
      <c r="B20" s="119"/>
      <c r="C20" s="14"/>
      <c r="D20" s="119" t="s">
        <v>109</v>
      </c>
      <c r="E20" s="119"/>
      <c r="F20" s="119"/>
      <c r="G20" s="119"/>
      <c r="H20" s="119"/>
      <c r="I20" s="119"/>
    </row>
    <row r="21" spans="1:9" ht="30.75" customHeight="1">
      <c r="A21" s="119" t="s">
        <v>119</v>
      </c>
      <c r="B21" s="119"/>
      <c r="C21" s="14"/>
      <c r="D21" s="119" t="s">
        <v>106</v>
      </c>
      <c r="E21" s="119"/>
      <c r="F21" s="119"/>
      <c r="G21" s="119"/>
      <c r="H21" s="119"/>
      <c r="I21" s="119"/>
    </row>
    <row r="22" spans="1:9" ht="15" customHeight="1">
      <c r="A22" s="119" t="s">
        <v>104</v>
      </c>
      <c r="B22" s="119"/>
      <c r="C22" s="14"/>
      <c r="D22" s="119" t="s">
        <v>107</v>
      </c>
      <c r="E22" s="119"/>
      <c r="F22" s="119"/>
      <c r="G22" s="119"/>
      <c r="H22" s="119"/>
      <c r="I22" s="119"/>
    </row>
    <row r="23" spans="1:9" ht="33" customHeight="1">
      <c r="A23" s="119" t="s">
        <v>118</v>
      </c>
      <c r="B23" s="119"/>
      <c r="C23" s="14"/>
      <c r="D23" s="119" t="s">
        <v>108</v>
      </c>
      <c r="E23" s="119"/>
      <c r="F23" s="119"/>
      <c r="G23" s="119"/>
      <c r="H23" s="119"/>
      <c r="I23" s="119"/>
    </row>
    <row r="24" spans="1:9" ht="13.5">
      <c r="A24" s="4" t="s">
        <v>116</v>
      </c>
      <c r="B24" s="14"/>
      <c r="C24" s="14"/>
      <c r="D24" s="14"/>
      <c r="E24" s="14"/>
      <c r="F24" s="14"/>
      <c r="G24" s="14"/>
      <c r="H24" s="14"/>
      <c r="I24" s="14"/>
    </row>
    <row r="27" s="14" customFormat="1" ht="81.75" customHeight="1"/>
    <row r="33" ht="15">
      <c r="C33" s="16"/>
    </row>
    <row r="34" ht="15">
      <c r="C34" s="16"/>
    </row>
  </sheetData>
  <sheetProtection/>
  <mergeCells count="12">
    <mergeCell ref="A19:B19"/>
    <mergeCell ref="C4:F4"/>
    <mergeCell ref="D22:I22"/>
    <mergeCell ref="D23:I23"/>
    <mergeCell ref="A23:B23"/>
    <mergeCell ref="A21:B21"/>
    <mergeCell ref="A22:B22"/>
    <mergeCell ref="B1:H1"/>
    <mergeCell ref="D19:I19"/>
    <mergeCell ref="D20:I20"/>
    <mergeCell ref="D21:I21"/>
    <mergeCell ref="A20:B20"/>
  </mergeCells>
  <printOptions/>
  <pageMargins left="0.5" right="0.25" top="1" bottom="1" header="0.5" footer="0.5"/>
  <pageSetup horizontalDpi="200" verticalDpi="200" orientation="landscape" scale="94" r:id="rId1"/>
</worksheet>
</file>

<file path=xl/worksheets/sheet10.xml><?xml version="1.0" encoding="utf-8"?>
<worksheet xmlns="http://schemas.openxmlformats.org/spreadsheetml/2006/main" xmlns:r="http://schemas.openxmlformats.org/officeDocument/2006/relationships">
  <dimension ref="A3:J22"/>
  <sheetViews>
    <sheetView zoomScalePageLayoutView="0" workbookViewId="0" topLeftCell="A6">
      <selection activeCell="A23" sqref="A23"/>
    </sheetView>
  </sheetViews>
  <sheetFormatPr defaultColWidth="9.140625" defaultRowHeight="15"/>
  <cols>
    <col min="1" max="1" width="33.140625" style="0" customWidth="1"/>
  </cols>
  <sheetData>
    <row r="3" ht="13.5">
      <c r="A3" s="74" t="s">
        <v>66</v>
      </c>
    </row>
    <row r="4" spans="1:10" ht="103.5" customHeight="1">
      <c r="A4" s="124" t="s">
        <v>68</v>
      </c>
      <c r="B4" s="124"/>
      <c r="C4" s="124"/>
      <c r="D4" s="124"/>
      <c r="E4" s="124"/>
      <c r="F4" s="124"/>
      <c r="G4" s="124"/>
      <c r="H4" s="124"/>
      <c r="I4" s="124"/>
      <c r="J4" s="124"/>
    </row>
    <row r="6" spans="1:2" ht="13.5">
      <c r="A6" t="s">
        <v>67</v>
      </c>
      <c r="B6">
        <v>0.05</v>
      </c>
    </row>
    <row r="7" spans="4:6" ht="13.5" hidden="1">
      <c r="D7" s="11">
        <f>IF(B6=0.01,6.636,IF(B6=0.1,2.706,3.841))</f>
        <v>3.841</v>
      </c>
      <c r="E7" s="11" t="s">
        <v>69</v>
      </c>
      <c r="F7" s="11"/>
    </row>
    <row r="8" spans="4:6" ht="13.5">
      <c r="D8" s="11"/>
      <c r="E8" s="11"/>
      <c r="F8" s="11"/>
    </row>
    <row r="9" ht="15">
      <c r="A9" s="73" t="s">
        <v>63</v>
      </c>
    </row>
    <row r="10" spans="1:10" ht="85.5" customHeight="1">
      <c r="A10" s="127" t="s">
        <v>70</v>
      </c>
      <c r="B10" s="124"/>
      <c r="C10" s="124"/>
      <c r="D10" s="124"/>
      <c r="E10" s="124"/>
      <c r="F10" s="124"/>
      <c r="G10" s="124"/>
      <c r="H10" s="124"/>
      <c r="I10" s="124"/>
      <c r="J10" s="124"/>
    </row>
    <row r="11" ht="15">
      <c r="A11" s="17"/>
    </row>
    <row r="12" spans="1:2" ht="15">
      <c r="A12" s="17" t="s">
        <v>64</v>
      </c>
      <c r="B12" s="18">
        <v>5</v>
      </c>
    </row>
    <row r="13" spans="1:2" ht="15">
      <c r="A13" s="17" t="s">
        <v>65</v>
      </c>
      <c r="B13" s="18">
        <v>30</v>
      </c>
    </row>
    <row r="14" ht="15">
      <c r="A14" s="16"/>
    </row>
    <row r="15" spans="1:3" ht="15">
      <c r="A15" t="str">
        <f>'Data Entry'!A17</f>
        <v>release 10/30/05</v>
      </c>
      <c r="C15" s="16"/>
    </row>
    <row r="17" ht="13.5">
      <c r="A17" s="74" t="s">
        <v>110</v>
      </c>
    </row>
    <row r="18" ht="13.5">
      <c r="A18" s="111" t="s">
        <v>111</v>
      </c>
    </row>
    <row r="19" ht="13.5">
      <c r="A19" s="4" t="s">
        <v>112</v>
      </c>
    </row>
    <row r="20" ht="13.5">
      <c r="A20" t="s">
        <v>114</v>
      </c>
    </row>
    <row r="21" ht="13.5">
      <c r="A21" t="s">
        <v>113</v>
      </c>
    </row>
    <row r="22" ht="13.5">
      <c r="A22" t="s">
        <v>115</v>
      </c>
    </row>
  </sheetData>
  <sheetProtection/>
  <mergeCells count="2">
    <mergeCell ref="A10:J10"/>
    <mergeCell ref="A4:J4"/>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V83"/>
  <sheetViews>
    <sheetView zoomScale="95" zoomScaleNormal="95" zoomScalePageLayoutView="0" workbookViewId="0" topLeftCell="A1">
      <selection activeCell="Z25" sqref="Z25"/>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2" width="8.8515625" style="0" hidden="1" customWidth="1"/>
    <col min="13" max="14" width="0" style="0" hidden="1" customWidth="1"/>
    <col min="15" max="15" width="9.8515625" style="0" hidden="1" customWidth="1"/>
    <col min="16" max="16" width="7.8515625" style="0" hidden="1" customWidth="1"/>
    <col min="17" max="17" width="10.00390625" style="0" hidden="1" customWidth="1"/>
    <col min="18" max="19" width="8.8515625" style="0" hidden="1" customWidth="1"/>
    <col min="20" max="21" width="12.57421875" style="50" hidden="1" customWidth="1"/>
    <col min="22" max="22" width="12.00390625" style="48" hidden="1" customWidth="1"/>
    <col min="23" max="23" width="0" style="0" hidden="1" customWidth="1"/>
  </cols>
  <sheetData>
    <row r="1" spans="2:19" ht="27.75" customHeight="1">
      <c r="B1" s="1" t="s">
        <v>20</v>
      </c>
      <c r="D1" s="88" t="s">
        <v>74</v>
      </c>
      <c r="E1" s="25"/>
      <c r="F1" s="123" t="str">
        <f>'Data Entry'!D5</f>
        <v>Black or African-American</v>
      </c>
      <c r="G1" s="124"/>
      <c r="H1" s="124"/>
      <c r="I1" s="124"/>
      <c r="J1" s="124"/>
      <c r="K1" s="14"/>
      <c r="L1" s="14"/>
      <c r="O1" s="11"/>
      <c r="P1" s="11"/>
      <c r="Q1" s="11"/>
      <c r="R1" s="11"/>
      <c r="S1" s="11"/>
    </row>
    <row r="2" spans="2:19" ht="13.5">
      <c r="B2" s="106" t="str">
        <f>'Data Entry'!A2</f>
        <v>State :  Montana                        </v>
      </c>
      <c r="C2" s="2"/>
      <c r="D2" s="2"/>
      <c r="E2" s="2"/>
      <c r="F2" s="2"/>
      <c r="G2" s="4"/>
      <c r="H2" s="4"/>
      <c r="I2" s="4"/>
      <c r="O2" s="11"/>
      <c r="P2" s="11"/>
      <c r="Q2" s="11"/>
      <c r="R2" s="11"/>
      <c r="S2" s="11"/>
    </row>
    <row r="3" spans="2:22" ht="13.5">
      <c r="B3" s="106" t="str">
        <f>'Data Entry'!A3</f>
        <v>County: Cascade</v>
      </c>
      <c r="C3" s="89"/>
      <c r="D3" s="89"/>
      <c r="E3" s="89"/>
      <c r="F3" s="89"/>
      <c r="G3" s="8"/>
      <c r="H3" s="8"/>
      <c r="I3" s="8"/>
      <c r="J3" s="8"/>
      <c r="K3" s="8"/>
      <c r="L3" s="8"/>
      <c r="O3" s="126" t="s">
        <v>59</v>
      </c>
      <c r="P3" s="124"/>
      <c r="Q3" s="124"/>
      <c r="R3" s="124"/>
      <c r="S3" s="124"/>
      <c r="T3" s="124"/>
      <c r="U3" s="124"/>
      <c r="V3" s="124"/>
    </row>
    <row r="4" spans="2:22" ht="8.25" customHeight="1">
      <c r="B4" s="7"/>
      <c r="C4" s="92"/>
      <c r="D4" s="92"/>
      <c r="E4" s="92"/>
      <c r="F4" s="92"/>
      <c r="G4" s="9"/>
      <c r="H4" s="9"/>
      <c r="I4" s="9"/>
      <c r="J4" s="10"/>
      <c r="K4" s="10"/>
      <c r="L4" s="10"/>
      <c r="O4" s="124"/>
      <c r="P4" s="124"/>
      <c r="Q4" s="124"/>
      <c r="R4" s="124"/>
      <c r="S4" s="124"/>
      <c r="T4" s="124"/>
      <c r="U4" s="124"/>
      <c r="V4" s="124"/>
    </row>
    <row r="5" spans="2:22" ht="66.75" customHeight="1" thickBot="1">
      <c r="B5" s="34" t="s">
        <v>21</v>
      </c>
      <c r="C5" s="62" t="s">
        <v>22</v>
      </c>
      <c r="D5" s="63" t="s">
        <v>23</v>
      </c>
      <c r="E5" s="62" t="s">
        <v>24</v>
      </c>
      <c r="F5" s="62" t="s">
        <v>25</v>
      </c>
      <c r="G5" s="85" t="s">
        <v>50</v>
      </c>
      <c r="H5" s="82"/>
      <c r="I5" s="82"/>
      <c r="J5" s="64" t="s">
        <v>72</v>
      </c>
      <c r="K5" s="71" t="s">
        <v>73</v>
      </c>
      <c r="L5" s="107"/>
      <c r="M5" s="14" t="s">
        <v>75</v>
      </c>
      <c r="N5" s="14" t="s">
        <v>96</v>
      </c>
      <c r="O5" s="12" t="s">
        <v>26</v>
      </c>
      <c r="P5" s="11" t="s">
        <v>27</v>
      </c>
      <c r="Q5" s="11" t="s">
        <v>28</v>
      </c>
      <c r="R5" s="11" t="s">
        <v>29</v>
      </c>
      <c r="S5" s="11" t="s">
        <v>30</v>
      </c>
      <c r="T5" s="51" t="s">
        <v>31</v>
      </c>
      <c r="U5" s="51" t="s">
        <v>32</v>
      </c>
      <c r="V5" s="49" t="s">
        <v>33</v>
      </c>
    </row>
    <row r="6" spans="2:22" ht="20.25" customHeight="1" thickBot="1">
      <c r="B6" s="81" t="str">
        <f>'Data Entry'!A6</f>
        <v>1. Population at risk (age 10  through 17 ) </v>
      </c>
      <c r="C6" s="30">
        <f>'Data Entry'!C6</f>
        <v>15248</v>
      </c>
      <c r="D6" s="79"/>
      <c r="E6" s="30">
        <f>'Data Entry'!D6</f>
        <v>640</v>
      </c>
      <c r="F6" s="79"/>
      <c r="G6" s="95"/>
      <c r="H6" s="93"/>
      <c r="I6" s="83"/>
      <c r="J6" s="78"/>
      <c r="K6" s="72"/>
      <c r="L6" s="108"/>
      <c r="M6">
        <f>IF(('Data Entry'!D6&gt;('Data Entry'!B6/100)),1,100)</f>
        <v>1</v>
      </c>
      <c r="N6" t="s">
        <v>82</v>
      </c>
      <c r="O6" s="11"/>
      <c r="P6" s="11"/>
      <c r="Q6" s="11"/>
      <c r="R6" s="11"/>
      <c r="S6" s="11"/>
      <c r="T6" s="51"/>
      <c r="U6" s="51"/>
      <c r="V6" s="49"/>
    </row>
    <row r="7" spans="2:22" ht="18" customHeight="1" thickBot="1">
      <c r="B7" s="81" t="str">
        <f>'Data Entry'!A7</f>
        <v>2. Juvenile Arrests </v>
      </c>
      <c r="C7" s="30">
        <f>'Data Entry'!C7</f>
        <v>325</v>
      </c>
      <c r="D7" s="80">
        <f>IF((AND(C66&gt;0,C7&gt;0)),(C7/C66),0)</f>
        <v>21.31427072402938</v>
      </c>
      <c r="E7" s="30">
        <f>'Data Entry'!D7</f>
        <v>29</v>
      </c>
      <c r="F7" s="80">
        <f>IF((AND($E$7&gt;0,$D$66&gt;0)),($E$7/$D$66),0)</f>
        <v>45.3125</v>
      </c>
      <c r="G7" s="96">
        <f>IF(M$6=100,"*",IF(N7=FALSE,"--",IF(K7=20,"**",($F7/$D7))))</f>
        <v>2.125923076923077</v>
      </c>
      <c r="H7" s="94"/>
      <c r="I7" s="84"/>
      <c r="J7" s="75">
        <f>IF((ABS($V7)&gt;Defaults!D$7),1,2)</f>
        <v>1</v>
      </c>
      <c r="K7" s="29">
        <f>IF((AND(O7&gt;Defaults!B$12,(O7+P7)&gt;Defaults!B$13,Q7&gt;Defaults!B$12,(Q7+R7)&gt;Defaults!B$13)),1,20)</f>
        <v>1</v>
      </c>
      <c r="L7" s="109" t="b">
        <f>OR((N7),(K7&lt;2))</f>
        <v>1</v>
      </c>
      <c r="M7">
        <f>(J7*K7+M$6)-1</f>
        <v>1</v>
      </c>
      <c r="N7" t="b">
        <f aca="true" t="shared" si="0" ref="N7:N15">(ISNUMBER(J7))</f>
        <v>1</v>
      </c>
      <c r="O7" s="13">
        <f aca="true" t="shared" si="1" ref="O7:O15">E7</f>
        <v>29</v>
      </c>
      <c r="P7" s="13">
        <f>E6-E7</f>
        <v>611</v>
      </c>
      <c r="Q7" s="13">
        <f aca="true" t="shared" si="2" ref="Q7:Q15">C7</f>
        <v>325</v>
      </c>
      <c r="R7" s="13">
        <f>C6-C7</f>
        <v>14923</v>
      </c>
      <c r="S7" s="13">
        <f aca="true" t="shared" si="3" ref="S7:S15">SUM(O7:R7)</f>
        <v>15888</v>
      </c>
      <c r="T7" s="51">
        <f aca="true" t="shared" si="4" ref="T7:T15">S7*((((O7*R7)-(P7*Q7))^2))</f>
        <v>871391545823232</v>
      </c>
      <c r="U7" s="51">
        <f aca="true" t="shared" si="5" ref="U7:U15">(O7+P7)*(Q7+R7)*(O7+Q7)*(P7+R7)</f>
        <v>53663552593920</v>
      </c>
      <c r="V7" s="49">
        <f aca="true" t="shared" si="6" ref="V7:V15">IF((T7&gt;0),T7/U7,"- -")</f>
        <v>16.23805178194556</v>
      </c>
    </row>
    <row r="8" spans="2:22" ht="18" customHeight="1" thickBot="1">
      <c r="B8" s="81" t="str">
        <f>'Data Entry'!A8</f>
        <v>3. Refer to Juvenile Court</v>
      </c>
      <c r="C8" s="30">
        <f>'Data Entry'!C8</f>
        <v>325</v>
      </c>
      <c r="D8" s="80">
        <f>IF((AND(C67&gt;0,C8&gt;0)),(C8/C67),0)</f>
        <v>100</v>
      </c>
      <c r="E8" s="30">
        <f>'Data Entry'!D8</f>
        <v>29</v>
      </c>
      <c r="F8" s="80">
        <f>IF((AND($E$8&gt;0,$D$67&gt;0)),($E8/$D67),0)</f>
        <v>100</v>
      </c>
      <c r="G8" s="96" t="str">
        <f aca="true" t="shared" si="7" ref="G8:G15">IF(M$6=100,"*",IF(N8=FALSE,"--",IF(K8=20,"**",($F8/$D8))))</f>
        <v>**</v>
      </c>
      <c r="H8" s="94"/>
      <c r="I8" s="84"/>
      <c r="J8" s="75">
        <f>IF((ABS($V8)&gt;Defaults!D$7),1,2)</f>
        <v>2</v>
      </c>
      <c r="K8" s="29">
        <f>IF((AND(O8&gt;Defaults!B$12,(O8+P8)&gt;Defaults!B$13,Q8&gt;Defaults!B$12,(Q8+R8)&gt;Defaults!B$13)),1,20)</f>
        <v>20</v>
      </c>
      <c r="L8" s="109" t="b">
        <f>OR((N8),(K8&lt;2))</f>
        <v>1</v>
      </c>
      <c r="M8">
        <f aca="true" t="shared" si="8" ref="M8:M15">(J8*K8+M$6)-1</f>
        <v>40</v>
      </c>
      <c r="N8" t="b">
        <f t="shared" si="0"/>
        <v>1</v>
      </c>
      <c r="O8" s="13">
        <f t="shared" si="1"/>
        <v>29</v>
      </c>
      <c r="P8" s="13">
        <f>((D67*M67)-E8)+0.05</f>
        <v>0.04999999999999645</v>
      </c>
      <c r="Q8" s="13">
        <f t="shared" si="2"/>
        <v>325</v>
      </c>
      <c r="R8" s="13">
        <f>(C$67*M67)-C8</f>
        <v>0</v>
      </c>
      <c r="S8" s="13">
        <f t="shared" si="3"/>
        <v>354.05</v>
      </c>
      <c r="T8" s="51">
        <f t="shared" si="4"/>
        <v>93491.32812498671</v>
      </c>
      <c r="U8" s="51">
        <f t="shared" si="5"/>
        <v>167110.12499998813</v>
      </c>
      <c r="V8" s="49">
        <f t="shared" si="6"/>
        <v>0.5594593871855064</v>
      </c>
    </row>
    <row r="9" spans="2:22" ht="18" customHeight="1" thickBot="1">
      <c r="B9" s="81" t="str">
        <f>'Data Entry'!A9</f>
        <v>4. Cases Diverted </v>
      </c>
      <c r="C9" s="30">
        <f>'Data Entry'!C9</f>
        <v>212</v>
      </c>
      <c r="D9" s="80">
        <f>IF((AND(C68&gt;0,C9&gt;0)),((C9/C68)),0)</f>
        <v>65.23076923076923</v>
      </c>
      <c r="E9" s="30">
        <f>'Data Entry'!D9</f>
        <v>19</v>
      </c>
      <c r="F9" s="80">
        <f>IF((AND($E$9&gt;0,$D$68&gt;0)),(($E$9/$D$68)),0)</f>
        <v>65.51724137931035</v>
      </c>
      <c r="G9" s="96" t="str">
        <f t="shared" si="7"/>
        <v>**</v>
      </c>
      <c r="H9" s="94"/>
      <c r="I9" s="84"/>
      <c r="J9" s="75">
        <f>IF((ABS($V9)&gt;Defaults!D$7),1,2)</f>
        <v>2</v>
      </c>
      <c r="K9" s="29">
        <f>IF((AND(O9&gt;Defaults!B$12,(O9+P9)&gt;Defaults!B$13,Q9&gt;Defaults!B$12,(Q9+R9)&gt;Defaults!B$13)),1,20)</f>
        <v>20</v>
      </c>
      <c r="L9" s="109" t="b">
        <f aca="true" t="shared" si="9" ref="L9:L15">OR((N9),(K9&lt;2))</f>
        <v>1</v>
      </c>
      <c r="M9">
        <f t="shared" si="8"/>
        <v>40</v>
      </c>
      <c r="N9" t="b">
        <f t="shared" si="0"/>
        <v>1</v>
      </c>
      <c r="O9" s="13">
        <f t="shared" si="1"/>
        <v>19</v>
      </c>
      <c r="P9" s="13">
        <f>(D$68*M68)-E9</f>
        <v>9.999999999999996</v>
      </c>
      <c r="Q9" s="13">
        <f t="shared" si="2"/>
        <v>212</v>
      </c>
      <c r="R9" s="13">
        <f>(C$68*M68)-C9</f>
        <v>113</v>
      </c>
      <c r="S9" s="13">
        <f t="shared" si="3"/>
        <v>354</v>
      </c>
      <c r="T9" s="51">
        <f t="shared" si="4"/>
        <v>258066.00000001737</v>
      </c>
      <c r="U9" s="51">
        <f t="shared" si="5"/>
        <v>267792524.99999994</v>
      </c>
      <c r="V9" s="49">
        <f t="shared" si="6"/>
        <v>0.0009636788778925679</v>
      </c>
    </row>
    <row r="10" spans="2:22" ht="18" customHeight="1" thickBot="1">
      <c r="B10" s="81" t="str">
        <f>'Data Entry'!A10</f>
        <v>5. Cases Involving Secure Detention</v>
      </c>
      <c r="C10" s="30">
        <f>'Data Entry'!C10</f>
        <v>216</v>
      </c>
      <c r="D10" s="80">
        <f>IF(((AND(C68&gt;0,C10&gt;0))),(C10/(C68)),0)</f>
        <v>66.46153846153847</v>
      </c>
      <c r="E10" s="30">
        <f>'Data Entry'!D10</f>
        <v>21</v>
      </c>
      <c r="F10" s="80">
        <f>IF(((AND($E$10&gt;0,$D$68&gt;0))),($E$10/($D$68)),0)</f>
        <v>72.41379310344828</v>
      </c>
      <c r="G10" s="96" t="str">
        <f t="shared" si="7"/>
        <v>**</v>
      </c>
      <c r="H10" s="94"/>
      <c r="I10" s="84"/>
      <c r="J10" s="75">
        <f>IF((ABS($V10)&gt;Defaults!D$7),1,2)</f>
        <v>2</v>
      </c>
      <c r="K10" s="29">
        <f>IF((AND(O10&gt;Defaults!B$12,(O10+P10)&gt;Defaults!B$13,Q10&gt;Defaults!B$12,(Q10+R10)&gt;Defaults!B$13)),1,20)</f>
        <v>20</v>
      </c>
      <c r="L10" s="109" t="b">
        <f t="shared" si="9"/>
        <v>1</v>
      </c>
      <c r="M10">
        <f t="shared" si="8"/>
        <v>40</v>
      </c>
      <c r="N10" t="b">
        <f t="shared" si="0"/>
        <v>1</v>
      </c>
      <c r="O10" s="13">
        <f t="shared" si="1"/>
        <v>21</v>
      </c>
      <c r="P10" s="13">
        <f>(D$68*M68)-E10</f>
        <v>7.9999999999999964</v>
      </c>
      <c r="Q10" s="13">
        <f t="shared" si="2"/>
        <v>216</v>
      </c>
      <c r="R10" s="13">
        <f>(C$68*M68)-C10</f>
        <v>109</v>
      </c>
      <c r="S10" s="13">
        <f t="shared" si="3"/>
        <v>354</v>
      </c>
      <c r="T10" s="51">
        <f t="shared" si="4"/>
        <v>111411234.00000027</v>
      </c>
      <c r="U10" s="51">
        <f t="shared" si="5"/>
        <v>261345824.99999994</v>
      </c>
      <c r="V10" s="49">
        <f t="shared" si="6"/>
        <v>0.42629812050757</v>
      </c>
    </row>
    <row r="11" spans="2:22" ht="18" customHeight="1" thickBot="1">
      <c r="B11" s="81" t="str">
        <f>'Data Entry'!A11</f>
        <v>6. Cases Petitioned (Charge Filed)</v>
      </c>
      <c r="C11" s="30">
        <f>'Data Entry'!C11</f>
        <v>84</v>
      </c>
      <c r="D11" s="80">
        <f>IF(((AND(C68&gt;0,C11&gt;0))),(C11/(C68)),0)</f>
        <v>25.846153846153847</v>
      </c>
      <c r="E11" s="30">
        <f>'Data Entry'!D11</f>
        <v>8</v>
      </c>
      <c r="F11" s="80">
        <f>IF(((AND($E$11&gt;0,$D$68&gt;0))),($E$11/($D$68)),0)</f>
        <v>27.586206896551726</v>
      </c>
      <c r="G11" s="96" t="str">
        <f t="shared" si="7"/>
        <v>**</v>
      </c>
      <c r="H11" s="94"/>
      <c r="I11" s="84"/>
      <c r="J11" s="75">
        <f>IF((ABS($V11)&gt;Defaults!D$7),1,2)</f>
        <v>2</v>
      </c>
      <c r="K11" s="29">
        <f>IF((AND(O11&gt;Defaults!B$12,(O11+P11)&gt;Defaults!B$13,Q11&gt;Defaults!B$12,(Q11+R11)&gt;Defaults!B$13)),1,20)</f>
        <v>20</v>
      </c>
      <c r="L11" s="109" t="b">
        <f t="shared" si="9"/>
        <v>1</v>
      </c>
      <c r="M11">
        <f t="shared" si="8"/>
        <v>40</v>
      </c>
      <c r="N11" t="b">
        <f t="shared" si="0"/>
        <v>1</v>
      </c>
      <c r="O11" s="13">
        <f t="shared" si="1"/>
        <v>8</v>
      </c>
      <c r="P11" s="13">
        <f>(D$68*M68)-E11</f>
        <v>20.999999999999996</v>
      </c>
      <c r="Q11" s="13">
        <f t="shared" si="2"/>
        <v>84</v>
      </c>
      <c r="R11" s="13">
        <f>(C$68*M68)-C11</f>
        <v>241</v>
      </c>
      <c r="S11" s="13">
        <f t="shared" si="3"/>
        <v>354</v>
      </c>
      <c r="T11" s="51">
        <f t="shared" si="4"/>
        <v>9521184.000000026</v>
      </c>
      <c r="U11" s="51">
        <f t="shared" si="5"/>
        <v>227180199.99999997</v>
      </c>
      <c r="V11" s="49">
        <f t="shared" si="6"/>
        <v>0.041910272109981536</v>
      </c>
    </row>
    <row r="12" spans="2:22" ht="18" customHeight="1" thickBot="1">
      <c r="B12" s="81" t="str">
        <f>'Data Entry'!A12</f>
        <v>7. Cases Resulting in Delinquent Findings</v>
      </c>
      <c r="C12" s="30">
        <f>'Data Entry'!C12</f>
        <v>84</v>
      </c>
      <c r="D12" s="80">
        <f>IF(((AND(C69&gt;0,C12&gt;0))),(C12/(C69)),0)</f>
        <v>100</v>
      </c>
      <c r="E12" s="30">
        <f>'Data Entry'!D12</f>
        <v>8</v>
      </c>
      <c r="F12" s="80">
        <f>IF(((AND($D$69&gt;0,$E$12&gt;0))),(E12/(D69)),0)</f>
        <v>100</v>
      </c>
      <c r="G12" s="96" t="str">
        <f t="shared" si="7"/>
        <v>--</v>
      </c>
      <c r="H12" s="94"/>
      <c r="I12" s="84"/>
      <c r="J12" s="75" t="e">
        <f>IF((ABS($V12)&gt;Defaults!D$7),1,2)</f>
        <v>#VALUE!</v>
      </c>
      <c r="K12" s="29">
        <f>IF((AND(O12&gt;Defaults!B$12,(O12+P12)&gt;Defaults!B$13,Q12&gt;Defaults!B$12,(Q12+R12)&gt;Defaults!B$13)),1,20)</f>
        <v>20</v>
      </c>
      <c r="L12" s="109" t="b">
        <f t="shared" si="9"/>
        <v>0</v>
      </c>
      <c r="M12" t="e">
        <f t="shared" si="8"/>
        <v>#VALUE!</v>
      </c>
      <c r="N12" t="b">
        <f t="shared" si="0"/>
        <v>0</v>
      </c>
      <c r="O12" s="13">
        <f t="shared" si="1"/>
        <v>8</v>
      </c>
      <c r="P12" s="13">
        <f>(D69*M69)-E12</f>
        <v>0</v>
      </c>
      <c r="Q12" s="13">
        <f t="shared" si="2"/>
        <v>84</v>
      </c>
      <c r="R12" s="13">
        <f>(C69*M69)-C12</f>
        <v>0</v>
      </c>
      <c r="S12" s="13">
        <f t="shared" si="3"/>
        <v>92</v>
      </c>
      <c r="T12" s="51">
        <f t="shared" si="4"/>
        <v>0</v>
      </c>
      <c r="U12" s="51">
        <f t="shared" si="5"/>
        <v>0</v>
      </c>
      <c r="V12" s="49" t="str">
        <f t="shared" si="6"/>
        <v>- -</v>
      </c>
    </row>
    <row r="13" spans="2:22" ht="18" customHeight="1" thickBot="1">
      <c r="B13" s="81" t="str">
        <f>'Data Entry'!A13</f>
        <v>8. Cases resulting in Probation Placement</v>
      </c>
      <c r="C13" s="30">
        <f>'Data Entry'!C13</f>
        <v>84</v>
      </c>
      <c r="D13" s="80">
        <f>IF(((AND(C70&gt;0,C13&gt;0))),(C13/(C70)),0)</f>
        <v>100</v>
      </c>
      <c r="E13" s="30">
        <f>'Data Entry'!D13</f>
        <v>8</v>
      </c>
      <c r="F13" s="80">
        <f>IF(((AND($D$70&gt;0,$E$13&gt;0))),($E$13/($D$70)),0)</f>
        <v>100</v>
      </c>
      <c r="G13" s="96" t="str">
        <f t="shared" si="7"/>
        <v>--</v>
      </c>
      <c r="H13" s="94"/>
      <c r="I13" s="84"/>
      <c r="J13" s="75" t="e">
        <f>IF((ABS($V13)&gt;Defaults!D$7),1,2)</f>
        <v>#VALUE!</v>
      </c>
      <c r="K13" s="29">
        <f>IF((AND(O13&gt;Defaults!B$12,(O13+P13)&gt;Defaults!B$13,Q13&gt;Defaults!B$12,(Q13+R13)&gt;Defaults!B$13)),1,20)</f>
        <v>20</v>
      </c>
      <c r="L13" s="109" t="b">
        <f t="shared" si="9"/>
        <v>0</v>
      </c>
      <c r="M13" t="e">
        <f t="shared" si="8"/>
        <v>#VALUE!</v>
      </c>
      <c r="N13" t="b">
        <f t="shared" si="0"/>
        <v>0</v>
      </c>
      <c r="O13" s="13">
        <f t="shared" si="1"/>
        <v>8</v>
      </c>
      <c r="P13" s="13">
        <f>(D70*M70)-E13</f>
        <v>0</v>
      </c>
      <c r="Q13" s="13">
        <f t="shared" si="2"/>
        <v>84</v>
      </c>
      <c r="R13" s="13">
        <f>(C70*M70)-C13</f>
        <v>0</v>
      </c>
      <c r="S13" s="13">
        <f t="shared" si="3"/>
        <v>92</v>
      </c>
      <c r="T13" s="51">
        <f t="shared" si="4"/>
        <v>0</v>
      </c>
      <c r="U13" s="51">
        <f t="shared" si="5"/>
        <v>0</v>
      </c>
      <c r="V13" s="49" t="str">
        <f t="shared" si="6"/>
        <v>- -</v>
      </c>
    </row>
    <row r="14" spans="2:22" ht="27.75" thickBot="1">
      <c r="B14" s="81" t="str">
        <f>'Data Entry'!A14</f>
        <v>9. Cases Resulting in Confinement in Secure    Juvenile Correctional Facilities </v>
      </c>
      <c r="C14" s="30">
        <f>'Data Entry'!C14</f>
        <v>12</v>
      </c>
      <c r="D14" s="80">
        <f>IF(((AND(C70&gt;0,C14&gt;0))),((C14/(C70))),0)</f>
        <v>14.285714285714286</v>
      </c>
      <c r="E14" s="30">
        <f>'Data Entry'!D14</f>
        <v>4</v>
      </c>
      <c r="F14" s="80">
        <f>IF(((AND($D$70&gt;0,$E$14&gt;0))),(($E$14/($D$70))),0)</f>
        <v>50</v>
      </c>
      <c r="G14" s="96" t="str">
        <f t="shared" si="7"/>
        <v>**</v>
      </c>
      <c r="H14" s="94"/>
      <c r="I14" s="84"/>
      <c r="J14" s="75">
        <f>IF((ABS($V14)&gt;Defaults!D$7),1,2)</f>
        <v>1</v>
      </c>
      <c r="K14" s="29">
        <f>IF((AND(O14&gt;Defaults!B$12,(O14+P14)&gt;Defaults!B$13,Q14&gt;Defaults!B$12,(Q14+R14)&gt;Defaults!B$13)),1,20)</f>
        <v>20</v>
      </c>
      <c r="L14" s="109" t="b">
        <f t="shared" si="9"/>
        <v>1</v>
      </c>
      <c r="M14">
        <f t="shared" si="8"/>
        <v>20</v>
      </c>
      <c r="N14" t="b">
        <f t="shared" si="0"/>
        <v>1</v>
      </c>
      <c r="O14" s="13">
        <f t="shared" si="1"/>
        <v>4</v>
      </c>
      <c r="P14" s="13">
        <f>(D70*M70)-E14</f>
        <v>4</v>
      </c>
      <c r="Q14" s="13">
        <f t="shared" si="2"/>
        <v>12</v>
      </c>
      <c r="R14" s="13">
        <f>(C70*M70)-C14</f>
        <v>72</v>
      </c>
      <c r="S14" s="13">
        <f t="shared" si="3"/>
        <v>92</v>
      </c>
      <c r="T14" s="51">
        <f t="shared" si="4"/>
        <v>5299200</v>
      </c>
      <c r="U14" s="51">
        <f t="shared" si="5"/>
        <v>817152</v>
      </c>
      <c r="V14" s="49">
        <f t="shared" si="6"/>
        <v>6.484962406015038</v>
      </c>
    </row>
    <row r="15" spans="2:22" ht="14.25" thickBot="1">
      <c r="B15" s="81" t="str">
        <f>'Data Entry'!A15</f>
        <v>10. Cases Transferred to Adult Court </v>
      </c>
      <c r="C15" s="30">
        <f>'Data Entry'!C15</f>
        <v>1</v>
      </c>
      <c r="D15" s="80">
        <f>IF(((AND(C69&gt;0,C15&gt;0))),((C15/(C69))),0)</f>
        <v>1.1904761904761905</v>
      </c>
      <c r="E15" s="30">
        <f>'Data Entry'!D15</f>
        <v>0</v>
      </c>
      <c r="F15" s="80">
        <f>IF(((AND($D$69&gt;0,$E$15&gt;0))),(($E$15/($D$69))),0)</f>
        <v>0</v>
      </c>
      <c r="G15" s="96" t="str">
        <f t="shared" si="7"/>
        <v>**</v>
      </c>
      <c r="H15" s="94"/>
      <c r="I15" s="84"/>
      <c r="J15" s="75">
        <f>IF((ABS($V15)&gt;Defaults!D$7),1,2)</f>
        <v>2</v>
      </c>
      <c r="K15" s="29">
        <f>IF((AND(O15&gt;Defaults!B$12,(O15+P15)&gt;Defaults!B$13,Q15&gt;Defaults!B$12,(Q15+R15)&gt;Defaults!B$13)),1,20)</f>
        <v>20</v>
      </c>
      <c r="L15" s="109" t="b">
        <f t="shared" si="9"/>
        <v>1</v>
      </c>
      <c r="M15">
        <f t="shared" si="8"/>
        <v>40</v>
      </c>
      <c r="N15" t="b">
        <f t="shared" si="0"/>
        <v>1</v>
      </c>
      <c r="O15" s="13">
        <f t="shared" si="1"/>
        <v>0</v>
      </c>
      <c r="P15" s="13">
        <f>(D69*M69)-E15</f>
        <v>8</v>
      </c>
      <c r="Q15" s="13">
        <f t="shared" si="2"/>
        <v>1</v>
      </c>
      <c r="R15" s="13">
        <f>(C69*M69)-C15</f>
        <v>83</v>
      </c>
      <c r="S15" s="13">
        <f t="shared" si="3"/>
        <v>92</v>
      </c>
      <c r="T15" s="51">
        <f t="shared" si="4"/>
        <v>5888</v>
      </c>
      <c r="U15" s="51">
        <f t="shared" si="5"/>
        <v>61152</v>
      </c>
      <c r="V15" s="49">
        <f t="shared" si="6"/>
        <v>0.09628466771323914</v>
      </c>
    </row>
    <row r="16" spans="2:22" ht="12" customHeight="1">
      <c r="B16" s="41" t="s">
        <v>99</v>
      </c>
      <c r="C16" s="3"/>
      <c r="D16" s="3"/>
      <c r="E16" s="3"/>
      <c r="F16" s="3"/>
      <c r="G16" s="3"/>
      <c r="H16" s="3"/>
      <c r="I16" s="3"/>
      <c r="O16" s="11"/>
      <c r="P16" s="11"/>
      <c r="Q16" s="11"/>
      <c r="R16" s="11"/>
      <c r="S16" s="11"/>
      <c r="T16" s="51"/>
      <c r="U16" s="51"/>
      <c r="V16" s="49"/>
    </row>
    <row r="17" spans="2:22" ht="12" customHeight="1">
      <c r="B17" s="41"/>
      <c r="C17" s="3"/>
      <c r="D17" s="3"/>
      <c r="E17" s="3"/>
      <c r="F17" s="3"/>
      <c r="G17" s="3"/>
      <c r="H17" s="3"/>
      <c r="I17" s="3"/>
      <c r="O17" s="11"/>
      <c r="P17" s="11"/>
      <c r="Q17" s="11"/>
      <c r="R17" s="11"/>
      <c r="S17" s="11"/>
      <c r="T17" s="51"/>
      <c r="U17" s="51"/>
      <c r="V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2" ht="12" customHeight="1">
      <c r="B24" s="41"/>
      <c r="C24" s="3"/>
      <c r="D24" s="3"/>
      <c r="E24" s="3"/>
      <c r="F24" s="3"/>
      <c r="G24" s="3"/>
      <c r="H24" s="3"/>
      <c r="I24" s="3"/>
      <c r="O24" s="11"/>
      <c r="P24" s="11"/>
      <c r="Q24" s="11"/>
      <c r="R24" s="11"/>
      <c r="S24" s="11"/>
      <c r="T24" s="51"/>
      <c r="U24" s="51"/>
      <c r="V24" s="49"/>
    </row>
    <row r="25" spans="2:19" ht="14.25">
      <c r="B25" s="102" t="s">
        <v>34</v>
      </c>
      <c r="K25" t="s">
        <v>87</v>
      </c>
      <c r="M25" t="s">
        <v>77</v>
      </c>
      <c r="O25" s="11"/>
      <c r="P25" s="11" t="b">
        <f>ISBLANK(O12)</f>
        <v>0</v>
      </c>
      <c r="Q25" s="11"/>
      <c r="R25" s="11"/>
      <c r="S25" s="11"/>
    </row>
    <row r="26" spans="2:19" ht="15" customHeight="1">
      <c r="B26" s="26" t="s">
        <v>35</v>
      </c>
      <c r="C26" s="6"/>
      <c r="D26" s="6"/>
      <c r="E26" s="6"/>
      <c r="F26" s="26" t="s">
        <v>36</v>
      </c>
      <c r="G26" s="26"/>
      <c r="H26" s="26"/>
      <c r="I26" s="26"/>
      <c r="J26" s="26"/>
      <c r="K26" s="98" t="s">
        <v>85</v>
      </c>
      <c r="L26" s="98"/>
      <c r="M26" s="99" t="s">
        <v>78</v>
      </c>
      <c r="N26" s="99"/>
      <c r="S26" s="37"/>
    </row>
    <row r="27" spans="2:19" ht="15" customHeight="1">
      <c r="B27" s="43" t="s">
        <v>39</v>
      </c>
      <c r="C27" s="43"/>
      <c r="D27" s="43"/>
      <c r="E27" s="43"/>
      <c r="F27" s="43" t="str">
        <f>B66</f>
        <v>per 1000 youth</v>
      </c>
      <c r="G27" s="43"/>
      <c r="H27" s="43"/>
      <c r="I27" s="43"/>
      <c r="J27" s="43">
        <f>F66</f>
        <v>0</v>
      </c>
      <c r="K27" s="43" t="s">
        <v>84</v>
      </c>
      <c r="L27" s="43"/>
      <c r="M27" s="21" t="s">
        <v>79</v>
      </c>
      <c r="N27" s="6"/>
      <c r="S27" s="37"/>
    </row>
    <row r="28" spans="2:19" ht="15" customHeight="1">
      <c r="B28" s="43" t="s">
        <v>71</v>
      </c>
      <c r="C28" s="43"/>
      <c r="D28" s="43"/>
      <c r="E28" s="43"/>
      <c r="F28" s="42" t="str">
        <f>B67</f>
        <v>per 100 arrests</v>
      </c>
      <c r="G28" s="42"/>
      <c r="H28" s="42"/>
      <c r="I28" s="42"/>
      <c r="J28" s="42"/>
      <c r="K28" s="42" t="s">
        <v>83</v>
      </c>
      <c r="L28" s="42"/>
      <c r="M28" s="5" t="s">
        <v>80</v>
      </c>
      <c r="N28" s="6"/>
      <c r="S28" s="37"/>
    </row>
    <row r="29" spans="2:19" ht="15" customHeight="1">
      <c r="B29" s="42" t="s">
        <v>42</v>
      </c>
      <c r="C29" s="42"/>
      <c r="D29" s="42"/>
      <c r="E29" s="42"/>
      <c r="F29" s="42" t="str">
        <f>B68</f>
        <v>per 100 referrals</v>
      </c>
      <c r="G29" s="42"/>
      <c r="H29" s="42"/>
      <c r="I29" s="42"/>
      <c r="J29" s="42"/>
      <c r="K29" s="42"/>
      <c r="L29" s="42"/>
      <c r="M29" s="5"/>
      <c r="N29" s="6"/>
      <c r="S29" s="37"/>
    </row>
    <row r="30" spans="2:19" ht="15" customHeight="1">
      <c r="B30" s="42" t="s">
        <v>52</v>
      </c>
      <c r="C30" s="42"/>
      <c r="D30" s="42"/>
      <c r="E30" s="42"/>
      <c r="F30" s="42" t="str">
        <f>B68</f>
        <v>per 100 referrals</v>
      </c>
      <c r="G30" s="42"/>
      <c r="H30" s="42"/>
      <c r="I30" s="42"/>
      <c r="J30" s="42"/>
      <c r="K30" s="42"/>
      <c r="L30" s="42"/>
      <c r="M30" s="5"/>
      <c r="N30" s="6"/>
      <c r="O30" t="b">
        <f>ISNUMBER(J14)</f>
        <v>1</v>
      </c>
      <c r="S30" s="37"/>
    </row>
    <row r="31" spans="2:19" ht="15" customHeight="1">
      <c r="B31" s="42" t="s">
        <v>45</v>
      </c>
      <c r="C31" s="42"/>
      <c r="D31" s="42"/>
      <c r="E31" s="42"/>
      <c r="F31" s="42" t="str">
        <f>B68</f>
        <v>per 100 referrals</v>
      </c>
      <c r="G31" s="42"/>
      <c r="H31" s="42"/>
      <c r="I31" s="42"/>
      <c r="J31" s="42"/>
      <c r="K31" s="42"/>
      <c r="L31" s="42"/>
      <c r="M31" s="5"/>
      <c r="N31" s="6"/>
      <c r="S31" s="37"/>
    </row>
    <row r="32" spans="2:19" ht="15" customHeight="1">
      <c r="B32" s="42" t="s">
        <v>46</v>
      </c>
      <c r="C32" s="42"/>
      <c r="D32" s="42"/>
      <c r="E32" s="42"/>
      <c r="F32" s="42" t="str">
        <f>B69</f>
        <v>per 100 youth petitioned</v>
      </c>
      <c r="G32" s="42"/>
      <c r="H32" s="42"/>
      <c r="I32" s="42"/>
      <c r="J32" s="42"/>
      <c r="K32" s="42"/>
      <c r="L32" s="42"/>
      <c r="M32" s="5"/>
      <c r="N32" s="6"/>
      <c r="S32" s="37"/>
    </row>
    <row r="33" spans="2:19" ht="15" customHeight="1">
      <c r="B33" s="42" t="s">
        <v>47</v>
      </c>
      <c r="C33" s="42"/>
      <c r="D33" s="42"/>
      <c r="E33" s="42"/>
      <c r="F33" s="42" t="str">
        <f>B70</f>
        <v>per 100 youth found delinquent</v>
      </c>
      <c r="G33" s="42"/>
      <c r="H33" s="42"/>
      <c r="I33" s="42"/>
      <c r="J33" s="42"/>
      <c r="K33" s="42"/>
      <c r="L33" s="42"/>
      <c r="M33" s="5"/>
      <c r="N33" s="6"/>
      <c r="S33" s="37"/>
    </row>
    <row r="34" spans="2:19" ht="15" customHeight="1">
      <c r="B34" s="42" t="s">
        <v>61</v>
      </c>
      <c r="C34" s="42"/>
      <c r="D34" s="42"/>
      <c r="E34" s="42"/>
      <c r="F34" s="42" t="str">
        <f>B70</f>
        <v>per 100 youth found delinquent</v>
      </c>
      <c r="G34" s="42"/>
      <c r="H34" s="42"/>
      <c r="I34" s="42"/>
      <c r="J34" s="42"/>
      <c r="K34" s="42"/>
      <c r="L34" s="42"/>
      <c r="M34" s="5"/>
      <c r="N34" s="6"/>
      <c r="S34" s="37"/>
    </row>
    <row r="35" spans="2:19" ht="15" customHeight="1">
      <c r="B35" s="42" t="s">
        <v>60</v>
      </c>
      <c r="C35" s="42"/>
      <c r="D35" s="42"/>
      <c r="E35" s="42"/>
      <c r="F35" s="42" t="str">
        <f>B69</f>
        <v>per 100 youth petitioned</v>
      </c>
      <c r="G35" s="42"/>
      <c r="H35" s="42"/>
      <c r="I35" s="42"/>
      <c r="J35" s="42"/>
      <c r="K35" s="42"/>
      <c r="L35" s="42"/>
      <c r="M35" s="5"/>
      <c r="N35" s="6"/>
      <c r="S35" s="37"/>
    </row>
    <row r="36" spans="10:19" ht="15" customHeight="1">
      <c r="J36" s="6"/>
      <c r="K36" s="6"/>
      <c r="L36" s="6"/>
      <c r="M36" s="6"/>
      <c r="N36" s="6"/>
      <c r="S36" s="37"/>
    </row>
    <row r="37" ht="13.5" hidden="1">
      <c r="S37" s="37"/>
    </row>
    <row r="38" ht="13.5" hidden="1">
      <c r="S38" s="37"/>
    </row>
    <row r="39" ht="13.5" hidden="1">
      <c r="S39" s="37"/>
    </row>
    <row r="40" spans="2:19" ht="30.75" customHeight="1" hidden="1">
      <c r="B40" s="125" t="s">
        <v>58</v>
      </c>
      <c r="C40" s="124"/>
      <c r="D40" s="124"/>
      <c r="E40" s="124"/>
      <c r="F40" s="124"/>
      <c r="G40" s="124"/>
      <c r="H40" s="124"/>
      <c r="I40" s="124"/>
      <c r="J40" s="124"/>
      <c r="K40" s="14"/>
      <c r="L40" s="14"/>
      <c r="S40" s="37"/>
    </row>
    <row r="41" spans="2:19" ht="13.5" hidden="1">
      <c r="B41" s="44" t="s">
        <v>56</v>
      </c>
      <c r="C41" s="45" t="s">
        <v>37</v>
      </c>
      <c r="D41" s="46" t="s">
        <v>38</v>
      </c>
      <c r="E41" s="45" t="s">
        <v>53</v>
      </c>
      <c r="G41" s="45" t="s">
        <v>55</v>
      </c>
      <c r="H41" s="45"/>
      <c r="I41" s="45"/>
      <c r="M41" t="s">
        <v>62</v>
      </c>
      <c r="S41" s="37"/>
    </row>
    <row r="42" spans="2:19" ht="13.5" hidden="1">
      <c r="B42" s="36" t="s">
        <v>40</v>
      </c>
      <c r="C42" s="38">
        <f>C6/1000</f>
        <v>15.248</v>
      </c>
      <c r="D42" s="38">
        <f>E6/1000</f>
        <v>0.64</v>
      </c>
      <c r="E42" s="38">
        <f>MAX(C42:D42)</f>
        <v>15.248</v>
      </c>
      <c r="G42" t="str">
        <f>B42</f>
        <v>per 1000 youth</v>
      </c>
      <c r="M42" s="18">
        <v>1000</v>
      </c>
      <c r="N42" s="18"/>
      <c r="S42" s="37"/>
    </row>
    <row r="43" spans="2:19" ht="13.5" hidden="1">
      <c r="B43" s="36" t="s">
        <v>41</v>
      </c>
      <c r="C43" s="38">
        <f>C7/100</f>
        <v>3.25</v>
      </c>
      <c r="D43" s="38">
        <f>E7/100</f>
        <v>0.29</v>
      </c>
      <c r="E43" s="38">
        <f>MAX(C43:D43,0)</f>
        <v>3.25</v>
      </c>
      <c r="G43" t="str">
        <f>B43</f>
        <v>per 100 arrests</v>
      </c>
      <c r="M43" s="18">
        <v>100</v>
      </c>
      <c r="N43" s="18"/>
      <c r="S43" s="37"/>
    </row>
    <row r="44" spans="2:19" ht="13.5" hidden="1">
      <c r="B44" s="36" t="s">
        <v>54</v>
      </c>
      <c r="C44" s="38">
        <f>C8/100</f>
        <v>3.25</v>
      </c>
      <c r="D44" s="38">
        <f>E8/100</f>
        <v>0.29</v>
      </c>
      <c r="E44" s="38">
        <f>MAX(C44:D44,0)</f>
        <v>3.25</v>
      </c>
      <c r="G44" t="str">
        <f>B44</f>
        <v>per 100 referrals</v>
      </c>
      <c r="M44" s="18">
        <v>100</v>
      </c>
      <c r="N44" s="18"/>
      <c r="S44" s="37"/>
    </row>
    <row r="45" spans="2:19" ht="13.5" hidden="1">
      <c r="B45" s="39" t="s">
        <v>43</v>
      </c>
      <c r="C45" s="37">
        <f>C11/100</f>
        <v>0.84</v>
      </c>
      <c r="D45" s="37">
        <f>E11/100</f>
        <v>0.08</v>
      </c>
      <c r="E45" s="38">
        <f>MAX(C45:D45,0)</f>
        <v>0.84</v>
      </c>
      <c r="G45" t="str">
        <f>B45</f>
        <v>per 100 youth petitioned</v>
      </c>
      <c r="M45" s="18">
        <v>100</v>
      </c>
      <c r="N45" s="18"/>
      <c r="S45" s="37"/>
    </row>
    <row r="46" spans="2:19" ht="13.5" hidden="1">
      <c r="B46" s="39" t="s">
        <v>44</v>
      </c>
      <c r="C46" s="37">
        <f>C12/100</f>
        <v>0.84</v>
      </c>
      <c r="D46" s="37">
        <f>E12/100</f>
        <v>0.08</v>
      </c>
      <c r="E46" s="38">
        <f>MAX(C46:D46)</f>
        <v>0.84</v>
      </c>
      <c r="G46" t="str">
        <f>B46</f>
        <v>per 100 youth found delinquent</v>
      </c>
      <c r="M46" s="18">
        <v>100</v>
      </c>
      <c r="N46" s="18"/>
      <c r="S46" s="37"/>
    </row>
    <row r="47" spans="2:19" ht="13.5" hidden="1">
      <c r="B47" s="14"/>
      <c r="C47" s="14"/>
      <c r="D47" s="14"/>
      <c r="E47" s="14"/>
      <c r="M47" s="18"/>
      <c r="N47" s="18"/>
      <c r="S47" s="37"/>
    </row>
    <row r="48" spans="2:19" ht="13.5" hidden="1">
      <c r="B48" s="37" t="str">
        <f>B42</f>
        <v>per 1000 youth</v>
      </c>
      <c r="C48" s="38">
        <f>C42</f>
        <v>15.248</v>
      </c>
      <c r="D48" s="38">
        <f>D42</f>
        <v>0.64</v>
      </c>
      <c r="E48" s="38">
        <f>MAX(C48:D48)</f>
        <v>15.248</v>
      </c>
      <c r="G48" t="str">
        <f>G42</f>
        <v>per 1000 youth</v>
      </c>
      <c r="M48" s="76">
        <f>M42</f>
        <v>1000</v>
      </c>
      <c r="N48" s="76"/>
      <c r="O48" s="11"/>
      <c r="P48" s="11"/>
      <c r="Q48" s="11"/>
      <c r="R48" s="11"/>
      <c r="S48" s="11"/>
    </row>
    <row r="49" spans="2:19" ht="13.5" hidden="1">
      <c r="B49" s="36" t="str">
        <f aca="true" t="shared" si="10" ref="B49:D50">IF(($E43&gt;0),B43,B42)</f>
        <v>per 100 arrests</v>
      </c>
      <c r="C49" s="36">
        <f>IF(($E43&gt;0),C43,C42)</f>
        <v>3.25</v>
      </c>
      <c r="D49" s="36">
        <f t="shared" si="10"/>
        <v>0.29</v>
      </c>
      <c r="E49" s="37">
        <f>MAX(C49:D49)</f>
        <v>3.25</v>
      </c>
      <c r="G49" t="str">
        <f>G43</f>
        <v>per 100 arrests</v>
      </c>
      <c r="M49" s="77">
        <f>IF(($E43&gt;0),M43,M42)</f>
        <v>100</v>
      </c>
      <c r="N49" s="77"/>
      <c r="O49" s="11"/>
      <c r="P49" s="11"/>
      <c r="Q49" s="11"/>
      <c r="R49" s="11"/>
      <c r="S49" s="11"/>
    </row>
    <row r="50" spans="2:19" ht="13.5" hidden="1">
      <c r="B50" s="36" t="str">
        <f t="shared" si="10"/>
        <v>per 100 referrals</v>
      </c>
      <c r="C50" s="36">
        <f t="shared" si="10"/>
        <v>3.25</v>
      </c>
      <c r="D50" s="36">
        <f t="shared" si="10"/>
        <v>0.29</v>
      </c>
      <c r="E50" s="37">
        <f>MAX(C50:D50)</f>
        <v>3.25</v>
      </c>
      <c r="G50" t="str">
        <f>G44</f>
        <v>per 100 referrals</v>
      </c>
      <c r="M50" s="77">
        <f>IF(($E44&gt;0),M44,M43)</f>
        <v>100</v>
      </c>
      <c r="N50" s="77"/>
      <c r="O50" s="11"/>
      <c r="P50" s="11"/>
      <c r="Q50" s="11"/>
      <c r="R50" s="11"/>
      <c r="S50" s="11"/>
    </row>
    <row r="51" spans="2:14" ht="13.5" hidden="1">
      <c r="B51" s="36" t="str">
        <f>IF(($E45&gt;0),B45,B43)</f>
        <v>per 100 youth petitioned</v>
      </c>
      <c r="C51" s="36">
        <f>IF(($E45&gt;0),C45,C44)</f>
        <v>0.84</v>
      </c>
      <c r="D51" s="36">
        <f>IF(($E45&gt;0),D45,D44)</f>
        <v>0.08</v>
      </c>
      <c r="E51" s="37">
        <f>MAX(C51:D51)</f>
        <v>0.84</v>
      </c>
      <c r="G51" t="str">
        <f>G45</f>
        <v>per 100 youth petitioned</v>
      </c>
      <c r="M51" s="77">
        <f>IF(($E45&gt;0),M45,M44)</f>
        <v>100</v>
      </c>
      <c r="N51" s="77"/>
    </row>
    <row r="52" spans="2:14" ht="13.5" hidden="1">
      <c r="B52" s="37" t="str">
        <f>IF(($E46&gt;0),B46,B45)</f>
        <v>per 100 youth found delinquent</v>
      </c>
      <c r="C52" s="37">
        <f>IF(($E46&gt;0),C46,C45)</f>
        <v>0.84</v>
      </c>
      <c r="D52" s="37">
        <f>IF(($E46&gt;0),D46,D45)</f>
        <v>0.08</v>
      </c>
      <c r="E52" s="38">
        <f>MAX(C52:D52)</f>
        <v>0.84</v>
      </c>
      <c r="G52" t="str">
        <f>G46</f>
        <v>per 100 youth found delinquent</v>
      </c>
      <c r="M52" s="77">
        <f>IF(($E46&gt;0),M46,M45)</f>
        <v>100</v>
      </c>
      <c r="N52" s="77"/>
    </row>
    <row r="53" spans="2:14" ht="13.5" hidden="1">
      <c r="B53" s="36"/>
      <c r="C53" s="37"/>
      <c r="D53" s="37"/>
      <c r="E53" s="37"/>
      <c r="M53" s="18"/>
      <c r="N53" s="18"/>
    </row>
    <row r="54" spans="2:14" ht="13.5" hidden="1">
      <c r="B54" s="37" t="str">
        <f>B48</f>
        <v>per 1000 youth</v>
      </c>
      <c r="C54" s="38">
        <f>C48</f>
        <v>15.248</v>
      </c>
      <c r="D54" s="38">
        <f>D48</f>
        <v>0.64</v>
      </c>
      <c r="E54" s="38">
        <f>MAX(C54:D54)</f>
        <v>15.248</v>
      </c>
      <c r="G54" t="str">
        <f>G48</f>
        <v>per 1000 youth</v>
      </c>
      <c r="M54" s="76">
        <f>M48</f>
        <v>1000</v>
      </c>
      <c r="N54" s="76"/>
    </row>
    <row r="55" spans="2:14" ht="13.5" hidden="1">
      <c r="B55" s="36" t="str">
        <f aca="true" t="shared" si="11" ref="B55:D56">IF(($E49&gt;0),B49,B48)</f>
        <v>per 100 arrests</v>
      </c>
      <c r="C55" s="36">
        <f t="shared" si="11"/>
        <v>3.25</v>
      </c>
      <c r="D55" s="36">
        <f t="shared" si="11"/>
        <v>0.29</v>
      </c>
      <c r="E55" s="37">
        <f>MAX(C55:D55)</f>
        <v>3.25</v>
      </c>
      <c r="G55" t="str">
        <f>G49</f>
        <v>per 100 arrests</v>
      </c>
      <c r="M55" s="77">
        <f>IF(($E49&gt;0),M49,M48)</f>
        <v>100</v>
      </c>
      <c r="N55" s="77"/>
    </row>
    <row r="56" spans="2:14" ht="13.5" hidden="1">
      <c r="B56" s="36" t="str">
        <f t="shared" si="11"/>
        <v>per 100 referrals</v>
      </c>
      <c r="C56" s="36">
        <f t="shared" si="11"/>
        <v>3.25</v>
      </c>
      <c r="D56" s="36">
        <f t="shared" si="11"/>
        <v>0.29</v>
      </c>
      <c r="E56" s="37">
        <f>MAX(C56:D56)</f>
        <v>3.25</v>
      </c>
      <c r="G56" t="str">
        <f>G50</f>
        <v>per 100 referrals</v>
      </c>
      <c r="M56" s="77">
        <f>IF(($E50&gt;0),M50,M49)</f>
        <v>100</v>
      </c>
      <c r="N56" s="77"/>
    </row>
    <row r="57" spans="2:14" ht="13.5" hidden="1">
      <c r="B57" s="36" t="str">
        <f>IF(($E51&gt;0),B51,B49)</f>
        <v>per 100 youth petitioned</v>
      </c>
      <c r="C57" s="36">
        <f>IF(($E51&gt;0),C51,C50)</f>
        <v>0.84</v>
      </c>
      <c r="D57" s="36">
        <f>IF(($E51&gt;0),D51,D50)</f>
        <v>0.08</v>
      </c>
      <c r="E57" s="37">
        <f>MAX(C57:D57)</f>
        <v>0.84</v>
      </c>
      <c r="G57" t="str">
        <f>G51</f>
        <v>per 100 youth petitioned</v>
      </c>
      <c r="M57" s="77">
        <f>IF(($E51&gt;0),M51,M50)</f>
        <v>100</v>
      </c>
      <c r="N57" s="77"/>
    </row>
    <row r="58" spans="2:14" ht="13.5" hidden="1">
      <c r="B58" s="37" t="str">
        <f>IF(($E52&gt;0),B52,B51)</f>
        <v>per 100 youth found delinquent</v>
      </c>
      <c r="C58" s="37">
        <f>IF(($E52&gt;0),C52,C51)</f>
        <v>0.84</v>
      </c>
      <c r="D58" s="37">
        <f>IF(($E52&gt;0),D52,D51)</f>
        <v>0.08</v>
      </c>
      <c r="E58" s="38">
        <f>MAX(C58:D58)</f>
        <v>0.84</v>
      </c>
      <c r="G58" t="str">
        <f>G52</f>
        <v>per 100 youth found delinquent</v>
      </c>
      <c r="M58" s="76">
        <f>IF(($E52&gt;0),M52,M51)</f>
        <v>100</v>
      </c>
      <c r="N58" s="76"/>
    </row>
    <row r="59" spans="2:14" ht="13.5" hidden="1">
      <c r="B59" s="37"/>
      <c r="C59" s="37"/>
      <c r="D59" s="37"/>
      <c r="E59" s="37"/>
      <c r="M59" s="18"/>
      <c r="N59" s="18"/>
    </row>
    <row r="60" spans="2:14" ht="13.5" hidden="1">
      <c r="B60" s="37" t="str">
        <f>B54</f>
        <v>per 1000 youth</v>
      </c>
      <c r="C60" s="38">
        <f>C54</f>
        <v>15.248</v>
      </c>
      <c r="D60" s="38">
        <f>D54</f>
        <v>0.64</v>
      </c>
      <c r="E60" s="38">
        <f>MAX(C60:D60)</f>
        <v>15.248</v>
      </c>
      <c r="G60" t="str">
        <f>G54</f>
        <v>per 1000 youth</v>
      </c>
      <c r="M60" s="76">
        <f>M54</f>
        <v>1000</v>
      </c>
      <c r="N60" s="76"/>
    </row>
    <row r="61" spans="2:14" ht="13.5" hidden="1">
      <c r="B61" s="36" t="str">
        <f aca="true" t="shared" si="12" ref="B61:D62">IF(($E55&gt;0),B55,B54)</f>
        <v>per 100 arrests</v>
      </c>
      <c r="C61" s="36">
        <f t="shared" si="12"/>
        <v>3.25</v>
      </c>
      <c r="D61" s="36">
        <f t="shared" si="12"/>
        <v>0.29</v>
      </c>
      <c r="E61" s="37">
        <f>MAX(C61:D61)</f>
        <v>3.25</v>
      </c>
      <c r="G61" t="str">
        <f>G55</f>
        <v>per 100 arrests</v>
      </c>
      <c r="M61" s="77">
        <f>IF(($E55&gt;0),M55,M54)</f>
        <v>100</v>
      </c>
      <c r="N61" s="77"/>
    </row>
    <row r="62" spans="2:14" ht="13.5" hidden="1">
      <c r="B62" s="36" t="str">
        <f t="shared" si="12"/>
        <v>per 100 referrals</v>
      </c>
      <c r="C62" s="36">
        <f t="shared" si="12"/>
        <v>3.25</v>
      </c>
      <c r="D62" s="36">
        <f t="shared" si="12"/>
        <v>0.29</v>
      </c>
      <c r="E62" s="37">
        <f>MAX(C62:D62)</f>
        <v>3.25</v>
      </c>
      <c r="G62" t="str">
        <f>G56</f>
        <v>per 100 referrals</v>
      </c>
      <c r="M62" s="77">
        <f>IF(($E56&gt;0),M56,M55)</f>
        <v>100</v>
      </c>
      <c r="N62" s="77"/>
    </row>
    <row r="63" spans="2:14" ht="13.5" hidden="1">
      <c r="B63" s="36" t="str">
        <f>IF(($E57&gt;0),B57,B55)</f>
        <v>per 100 youth petitioned</v>
      </c>
      <c r="C63" s="36">
        <f>IF(($E57&gt;0),C57,C56)</f>
        <v>0.84</v>
      </c>
      <c r="D63" s="36">
        <f>IF(($E57&gt;0),D57,D56)</f>
        <v>0.08</v>
      </c>
      <c r="E63" s="37">
        <f>MAX(C63:D63)</f>
        <v>0.84</v>
      </c>
      <c r="G63" t="str">
        <f>G57</f>
        <v>per 100 youth petitioned</v>
      </c>
      <c r="M63" s="77">
        <f>IF(($E57&gt;0),M57,M56)</f>
        <v>100</v>
      </c>
      <c r="N63" s="77"/>
    </row>
    <row r="64" spans="2:14" ht="13.5" hidden="1">
      <c r="B64" s="37" t="str">
        <f>IF(($E58&gt;0),B58,B57)</f>
        <v>per 100 youth found delinquent</v>
      </c>
      <c r="C64" s="37">
        <f>IF(($E58&gt;0),C58,C57)</f>
        <v>0.84</v>
      </c>
      <c r="D64" s="37">
        <f>IF(($E58&gt;0),D58,D57)</f>
        <v>0.08</v>
      </c>
      <c r="E64" s="38">
        <f>MAX(C64:D64)</f>
        <v>0.84</v>
      </c>
      <c r="G64" t="str">
        <f>G58</f>
        <v>per 100 youth found delinquent</v>
      </c>
      <c r="M64" s="76">
        <f>IF(($E58&gt;0),M58,M57)</f>
        <v>100</v>
      </c>
      <c r="N64" s="76"/>
    </row>
    <row r="65" spans="2:14" ht="13.5" hidden="1">
      <c r="B65" s="47" t="s">
        <v>57</v>
      </c>
      <c r="M65" s="18"/>
      <c r="N65" s="18"/>
    </row>
    <row r="66" spans="2:14" ht="13.5" hidden="1">
      <c r="B66" s="37" t="str">
        <f>B60</f>
        <v>per 1000 youth</v>
      </c>
      <c r="C66" s="38">
        <f>C60</f>
        <v>15.248</v>
      </c>
      <c r="D66" s="38">
        <f>D60</f>
        <v>0.64</v>
      </c>
      <c r="E66" s="38">
        <f>MAX(C66:D66)</f>
        <v>15.248</v>
      </c>
      <c r="G66" t="str">
        <f>G60</f>
        <v>per 1000 youth</v>
      </c>
      <c r="M66" s="76">
        <f>M60</f>
        <v>1000</v>
      </c>
      <c r="N66" s="76">
        <f>IF((B66=G66),1,2)</f>
        <v>1</v>
      </c>
    </row>
    <row r="67" spans="2:14" ht="13.5" hidden="1">
      <c r="B67" s="36" t="str">
        <f aca="true" t="shared" si="13" ref="B67:D68">IF(($E61&gt;0),B61,B60)</f>
        <v>per 100 arrests</v>
      </c>
      <c r="C67" s="36">
        <f t="shared" si="13"/>
        <v>3.25</v>
      </c>
      <c r="D67" s="36">
        <f t="shared" si="13"/>
        <v>0.29</v>
      </c>
      <c r="E67" s="37">
        <f>MAX(C67:D67)</f>
        <v>3.25</v>
      </c>
      <c r="G67" t="str">
        <f>G61</f>
        <v>per 100 arrests</v>
      </c>
      <c r="M67" s="77">
        <f>IF(($E61&gt;0),M61,M60)</f>
        <v>100</v>
      </c>
      <c r="N67" s="76">
        <f>IF((B67=G67),1,2)</f>
        <v>1</v>
      </c>
    </row>
    <row r="68" spans="2:14" ht="13.5" hidden="1">
      <c r="B68" s="36" t="str">
        <f t="shared" si="13"/>
        <v>per 100 referrals</v>
      </c>
      <c r="C68" s="36">
        <f t="shared" si="13"/>
        <v>3.25</v>
      </c>
      <c r="D68" s="36">
        <f t="shared" si="13"/>
        <v>0.29</v>
      </c>
      <c r="E68" s="37">
        <f>MAX(C68:D68)</f>
        <v>3.25</v>
      </c>
      <c r="G68" t="str">
        <f>G62</f>
        <v>per 100 referrals</v>
      </c>
      <c r="M68" s="77">
        <f>IF(($E62&gt;0),M62,M61)</f>
        <v>100</v>
      </c>
      <c r="N68" s="76">
        <f>IF((B68=G68),1,2)</f>
        <v>1</v>
      </c>
    </row>
    <row r="69" spans="2:14" ht="13.5" hidden="1">
      <c r="B69" s="36" t="str">
        <f>IF(($E63&gt;0),B63,B61)</f>
        <v>per 100 youth petitioned</v>
      </c>
      <c r="C69" s="36">
        <f>IF(($E63&gt;0),C63,C62)</f>
        <v>0.84</v>
      </c>
      <c r="D69" s="36">
        <f>IF(($E63&gt;0),D63,D62)</f>
        <v>0.08</v>
      </c>
      <c r="E69" s="37">
        <f>MAX(C69:D69)</f>
        <v>0.84</v>
      </c>
      <c r="G69" t="str">
        <f>G63</f>
        <v>per 100 youth petitioned</v>
      </c>
      <c r="M69" s="77">
        <f>IF(($E63&gt;0),M63,M62)</f>
        <v>100</v>
      </c>
      <c r="N69" s="76">
        <f>IF((B69=G69),1,2)</f>
        <v>1</v>
      </c>
    </row>
    <row r="70" spans="2:14" ht="13.5" hidden="1">
      <c r="B70" s="37" t="str">
        <f>IF(($E64&gt;0),B64,B63)</f>
        <v>per 100 youth found delinquent</v>
      </c>
      <c r="C70" s="37">
        <f>IF(($E64&gt;0),C64,C63)</f>
        <v>0.84</v>
      </c>
      <c r="D70" s="37">
        <f>IF(($E64&gt;0),D64,D63)</f>
        <v>0.08</v>
      </c>
      <c r="E70" s="38">
        <f>MAX(C70:D70)</f>
        <v>0.84</v>
      </c>
      <c r="G70" t="str">
        <f>G64</f>
        <v>per 100 youth found delinquent</v>
      </c>
      <c r="M70" s="76">
        <f>IF(($E64&gt;0),M64,M63)</f>
        <v>100</v>
      </c>
      <c r="N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O3:V4"/>
  </mergeCells>
  <conditionalFormatting sqref="G8:G15">
    <cfRule type="expression" priority="1" dxfId="93" stopIfTrue="1">
      <formula>$M8=1</formula>
    </cfRule>
    <cfRule type="expression" priority="2" dxfId="94" stopIfTrue="1">
      <formula>$M8=2</formula>
    </cfRule>
    <cfRule type="expression" priority="3" dxfId="95" stopIfTrue="1">
      <formula>$M8&gt;3</formula>
    </cfRule>
  </conditionalFormatting>
  <conditionalFormatting sqref="F27">
    <cfRule type="expression" priority="4" dxfId="96" stopIfTrue="1">
      <formula>N66=2</formula>
    </cfRule>
  </conditionalFormatting>
  <conditionalFormatting sqref="F30">
    <cfRule type="expression" priority="5" dxfId="93" stopIfTrue="1">
      <formula>N68=2</formula>
    </cfRule>
  </conditionalFormatting>
  <conditionalFormatting sqref="F28">
    <cfRule type="expression" priority="6" dxfId="93" stopIfTrue="1">
      <formula>N67=2</formula>
    </cfRule>
  </conditionalFormatting>
  <conditionalFormatting sqref="F29">
    <cfRule type="expression" priority="7" dxfId="93" stopIfTrue="1">
      <formula>N68=2</formula>
    </cfRule>
  </conditionalFormatting>
  <conditionalFormatting sqref="F31">
    <cfRule type="expression" priority="8" dxfId="93" stopIfTrue="1">
      <formula>N68=2</formula>
    </cfRule>
  </conditionalFormatting>
  <conditionalFormatting sqref="F32:F33">
    <cfRule type="expression" priority="9" dxfId="93" stopIfTrue="1">
      <formula>N69=2</formula>
    </cfRule>
  </conditionalFormatting>
  <conditionalFormatting sqref="F34">
    <cfRule type="expression" priority="10" dxfId="93" stopIfTrue="1">
      <formula>N70=2</formula>
    </cfRule>
  </conditionalFormatting>
  <conditionalFormatting sqref="F35">
    <cfRule type="expression" priority="11" dxfId="93" stopIfTrue="1">
      <formula>N69=2</formula>
    </cfRule>
  </conditionalFormatting>
  <conditionalFormatting sqref="B86">
    <cfRule type="expression" priority="12" dxfId="93" stopIfTrue="1">
      <formula>$D$83=2</formula>
    </cfRule>
  </conditionalFormatting>
  <conditionalFormatting sqref="G7">
    <cfRule type="expression" priority="13" dxfId="93" stopIfTrue="1">
      <formula>$M7=1</formula>
    </cfRule>
    <cfRule type="expression" priority="14" dxfId="94" stopIfTrue="1">
      <formula>$M7=2</formula>
    </cfRule>
    <cfRule type="expression" priority="15" dxfId="95" stopIfTrue="1">
      <formula>$M7&gt;3</formula>
    </cfRule>
  </conditionalFormatting>
  <printOptions/>
  <pageMargins left="0.57" right="0.17" top="0.75" bottom="0.5" header="0" footer="0"/>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2">
      <selection activeCell="D7" sqref="D7"/>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8" width="0" style="0" hidden="1" customWidth="1"/>
  </cols>
  <sheetData>
    <row r="1" spans="2:18" ht="27.75" customHeight="1">
      <c r="B1" s="1" t="s">
        <v>20</v>
      </c>
      <c r="D1" s="88" t="s">
        <v>74</v>
      </c>
      <c r="E1" s="25"/>
      <c r="F1" s="123" t="str">
        <f>'Data Entry'!E5</f>
        <v>Hispanic or Latino</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Cascade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15248</v>
      </c>
      <c r="D6" s="79"/>
      <c r="E6" s="30">
        <f>'Data Entry'!E6</f>
        <v>1204</v>
      </c>
      <c r="F6" s="79"/>
      <c r="G6" s="97"/>
      <c r="H6" s="93"/>
      <c r="I6" s="83"/>
      <c r="J6" s="78"/>
      <c r="K6" s="72"/>
      <c r="L6">
        <f>IF(('Data Entry'!E6&gt;('Data Entry'!B6/100)),1,100)</f>
        <v>1</v>
      </c>
      <c r="M6" t="s">
        <v>82</v>
      </c>
      <c r="N6" s="11"/>
      <c r="O6" s="11"/>
      <c r="P6" s="11"/>
      <c r="Q6" s="11"/>
      <c r="R6" s="11"/>
      <c r="S6" s="51"/>
      <c r="T6" s="51"/>
      <c r="U6" s="49"/>
    </row>
    <row r="7" spans="2:21" ht="18" customHeight="1" thickBot="1">
      <c r="B7" s="81" t="str">
        <f>'Data Entry'!A7</f>
        <v>2. Juvenile Arrests </v>
      </c>
      <c r="C7" s="30">
        <f>'Data Entry'!C7</f>
        <v>325</v>
      </c>
      <c r="D7" s="80">
        <f>IF((AND(C66&gt;0,C7&gt;0)),(C7/C66),0)</f>
        <v>21.31427072402938</v>
      </c>
      <c r="E7" s="30">
        <f>'Data Entry'!E7</f>
        <v>12</v>
      </c>
      <c r="F7" s="80">
        <f>IF((AND($E$7&gt;0,$D$66&gt;0)),($E$7/$D$66),0)</f>
        <v>9.966777408637874</v>
      </c>
      <c r="G7" s="96">
        <f aca="true" t="shared" si="0" ref="G7:G15">IF(L$6=100,"*",IF(M7=FALSE,"--",IF(K7=20,"**",($F7/$D7))))</f>
        <v>0.46761052900587785</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12</v>
      </c>
      <c r="O7" s="13">
        <f>E6-E7</f>
        <v>1192</v>
      </c>
      <c r="P7" s="13">
        <f aca="true" t="shared" si="4" ref="P7:P15">C7</f>
        <v>325</v>
      </c>
      <c r="Q7" s="13">
        <f>C6-C7</f>
        <v>14923</v>
      </c>
      <c r="R7" s="13">
        <f aca="true" t="shared" si="5" ref="R7:R15">SUM(N7:Q7)</f>
        <v>16452</v>
      </c>
      <c r="S7" s="51">
        <f aca="true" t="shared" si="6" ref="S7:S15">R7*((((N7*Q7)-(O7*P7))^2))</f>
        <v>713998521433152</v>
      </c>
      <c r="T7" s="51">
        <f aca="true" t="shared" si="7" ref="T7:T15">(N7+O7)*(P7+Q7)*(N7+P7)*(O7+Q7)</f>
        <v>99701015296960</v>
      </c>
      <c r="U7" s="49">
        <f aca="true" t="shared" si="8" ref="U7:U15">IF((S7&gt;0),S7/T7,"- -")</f>
        <v>7.161396694973503</v>
      </c>
    </row>
    <row r="8" spans="2:21" ht="18" customHeight="1" thickBot="1">
      <c r="B8" s="81" t="str">
        <f>'Data Entry'!A8</f>
        <v>3. Refer to Juvenile Court</v>
      </c>
      <c r="C8" s="30">
        <f>'Data Entry'!C8</f>
        <v>325</v>
      </c>
      <c r="D8" s="80">
        <f>IF((AND(C67&gt;0,C8&gt;0)),(C8/C67),0)</f>
        <v>100</v>
      </c>
      <c r="E8" s="30">
        <f>'Data Entry'!E8</f>
        <v>12</v>
      </c>
      <c r="F8" s="80">
        <f>IF((AND($E$8&gt;0,$D$67&gt;0)),($E8/$D67),0)</f>
        <v>100</v>
      </c>
      <c r="G8" s="96" t="str">
        <f t="shared" si="0"/>
        <v>**</v>
      </c>
      <c r="H8" s="94"/>
      <c r="I8" s="84"/>
      <c r="J8" s="75">
        <f>IF((ABS($U8)&gt;Defaults!D$7),1,2)</f>
        <v>2</v>
      </c>
      <c r="K8" s="29">
        <f>IF((AND(N8&gt;Defaults!B$12,(N8+O8)&gt;Defaults!B$13,P8&gt;Defaults!B$12,(P8+Q8)&gt;Defaults!B$13)),1,20)</f>
        <v>20</v>
      </c>
      <c r="L8">
        <f t="shared" si="1"/>
        <v>40</v>
      </c>
      <c r="M8" t="b">
        <f t="shared" si="2"/>
        <v>1</v>
      </c>
      <c r="N8" s="13">
        <f t="shared" si="3"/>
        <v>12</v>
      </c>
      <c r="O8" s="13">
        <f>((D67*L67)-E8)+0.05</f>
        <v>0.05</v>
      </c>
      <c r="P8" s="13">
        <f t="shared" si="4"/>
        <v>325</v>
      </c>
      <c r="Q8" s="13">
        <f>(C$67*L67)-C8</f>
        <v>0</v>
      </c>
      <c r="R8" s="13">
        <f t="shared" si="5"/>
        <v>337.05</v>
      </c>
      <c r="S8" s="51">
        <f t="shared" si="6"/>
        <v>89002.265625</v>
      </c>
      <c r="T8" s="51">
        <f t="shared" si="7"/>
        <v>65988.81250000001</v>
      </c>
      <c r="U8" s="49">
        <f t="shared" si="8"/>
        <v>1.348747799106098</v>
      </c>
    </row>
    <row r="9" spans="2:21" ht="18" customHeight="1" thickBot="1">
      <c r="B9" s="81" t="str">
        <f>'Data Entry'!A9</f>
        <v>4. Cases Diverted </v>
      </c>
      <c r="C9" s="30">
        <f>'Data Entry'!C9</f>
        <v>212</v>
      </c>
      <c r="D9" s="80">
        <f>IF((AND(C68&gt;0,C9&gt;0)),((C9/C68)),0)</f>
        <v>65.23076923076923</v>
      </c>
      <c r="E9" s="30">
        <f>'Data Entry'!E9</f>
        <v>6</v>
      </c>
      <c r="F9" s="80">
        <f>IF((AND($E$9&gt;0,$D$68&gt;0)),(($E$9/$D$68)),0)</f>
        <v>50</v>
      </c>
      <c r="G9" s="96" t="str">
        <f t="shared" si="0"/>
        <v>**</v>
      </c>
      <c r="H9" s="94"/>
      <c r="I9" s="84"/>
      <c r="J9" s="75">
        <f>IF((ABS($U9)&gt;Defaults!D$7),1,2)</f>
        <v>2</v>
      </c>
      <c r="K9" s="29">
        <f>IF((AND(N9&gt;Defaults!B$12,(N9+O9)&gt;Defaults!B$13,P9&gt;Defaults!B$12,(P9+Q9)&gt;Defaults!B$13)),1,20)</f>
        <v>20</v>
      </c>
      <c r="L9">
        <f t="shared" si="1"/>
        <v>40</v>
      </c>
      <c r="M9" t="b">
        <f t="shared" si="2"/>
        <v>1</v>
      </c>
      <c r="N9" s="13">
        <f t="shared" si="3"/>
        <v>6</v>
      </c>
      <c r="O9" s="13">
        <f>(D$68*L68)-E9</f>
        <v>6</v>
      </c>
      <c r="P9" s="13">
        <f t="shared" si="4"/>
        <v>212</v>
      </c>
      <c r="Q9" s="13">
        <f>(C$68*L68)-C9</f>
        <v>113</v>
      </c>
      <c r="R9" s="13">
        <f t="shared" si="5"/>
        <v>337</v>
      </c>
      <c r="S9" s="51">
        <f t="shared" si="6"/>
        <v>118905732</v>
      </c>
      <c r="T9" s="51">
        <f t="shared" si="7"/>
        <v>101173800</v>
      </c>
      <c r="U9" s="49">
        <f t="shared" si="8"/>
        <v>1.1752620935459575</v>
      </c>
    </row>
    <row r="10" spans="2:21" ht="18" customHeight="1" thickBot="1">
      <c r="B10" s="81" t="str">
        <f>'Data Entry'!A10</f>
        <v>5. Cases Involving Secure Detention</v>
      </c>
      <c r="C10" s="30">
        <f>'Data Entry'!C10</f>
        <v>216</v>
      </c>
      <c r="D10" s="80">
        <f>IF(((AND(C68&gt;0,C10&gt;0))),(C10/(C68)),0)</f>
        <v>66.46153846153847</v>
      </c>
      <c r="E10" s="30">
        <f>'Data Entry'!E10</f>
        <v>11</v>
      </c>
      <c r="F10" s="80">
        <f>IF(((AND($E$10&gt;0,$D$68&gt;0))),($E$10/($D$68)),0)</f>
        <v>91.66666666666667</v>
      </c>
      <c r="G10" s="96" t="str">
        <f t="shared" si="0"/>
        <v>**</v>
      </c>
      <c r="H10" s="94"/>
      <c r="I10" s="84"/>
      <c r="J10" s="75">
        <f>IF((ABS($U10)&gt;Defaults!D$7),1,2)</f>
        <v>2</v>
      </c>
      <c r="K10" s="29">
        <f>IF((AND(N10&gt;Defaults!B$12,(N10+O10)&gt;Defaults!B$13,P10&gt;Defaults!B$12,(P10+Q10)&gt;Defaults!B$13)),1,20)</f>
        <v>20</v>
      </c>
      <c r="L10">
        <f t="shared" si="1"/>
        <v>40</v>
      </c>
      <c r="M10" t="b">
        <f t="shared" si="2"/>
        <v>1</v>
      </c>
      <c r="N10" s="13">
        <f t="shared" si="3"/>
        <v>11</v>
      </c>
      <c r="O10" s="13">
        <f>(D$68*L68)-E10</f>
        <v>1</v>
      </c>
      <c r="P10" s="13">
        <f t="shared" si="4"/>
        <v>216</v>
      </c>
      <c r="Q10" s="13">
        <f>(C$68*L68)-C10</f>
        <v>109</v>
      </c>
      <c r="R10" s="13">
        <f t="shared" si="5"/>
        <v>337</v>
      </c>
      <c r="S10" s="51">
        <f t="shared" si="6"/>
        <v>325639393</v>
      </c>
      <c r="T10" s="51">
        <f t="shared" si="7"/>
        <v>97383000</v>
      </c>
      <c r="U10" s="49">
        <f t="shared" si="8"/>
        <v>3.343903894930327</v>
      </c>
    </row>
    <row r="11" spans="2:21" ht="18" customHeight="1" thickBot="1">
      <c r="B11" s="81" t="str">
        <f>'Data Entry'!A11</f>
        <v>6. Cases Petitioned (Charge Filed)</v>
      </c>
      <c r="C11" s="30">
        <f>'Data Entry'!C11</f>
        <v>84</v>
      </c>
      <c r="D11" s="80">
        <f>IF(((AND(C68&gt;0,C11&gt;0))),(C11/(C68)),0)</f>
        <v>25.846153846153847</v>
      </c>
      <c r="E11" s="30">
        <f>'Data Entry'!E11</f>
        <v>3</v>
      </c>
      <c r="F11" s="80">
        <f>IF(((AND($E$11&gt;0,$D$68&gt;0))),($E$11/($D$68)),0)</f>
        <v>25</v>
      </c>
      <c r="G11" s="96" t="str">
        <f t="shared" si="0"/>
        <v>**</v>
      </c>
      <c r="H11" s="94"/>
      <c r="I11" s="84"/>
      <c r="J11" s="75">
        <f>IF((ABS($U11)&gt;Defaults!D$7),1,2)</f>
        <v>2</v>
      </c>
      <c r="K11" s="29">
        <f>IF((AND(N11&gt;Defaults!B$12,(N11+O11)&gt;Defaults!B$13,P11&gt;Defaults!B$12,(P11+Q11)&gt;Defaults!B$13)),1,20)</f>
        <v>20</v>
      </c>
      <c r="L11">
        <f t="shared" si="1"/>
        <v>40</v>
      </c>
      <c r="M11" t="b">
        <f t="shared" si="2"/>
        <v>1</v>
      </c>
      <c r="N11" s="13">
        <f t="shared" si="3"/>
        <v>3</v>
      </c>
      <c r="O11" s="13">
        <f>(D$68*L68)-E11</f>
        <v>9</v>
      </c>
      <c r="P11" s="13">
        <f t="shared" si="4"/>
        <v>84</v>
      </c>
      <c r="Q11" s="13">
        <f>(C$68*L68)-C11</f>
        <v>241</v>
      </c>
      <c r="R11" s="13">
        <f t="shared" si="5"/>
        <v>337</v>
      </c>
      <c r="S11" s="51">
        <f t="shared" si="6"/>
        <v>366993</v>
      </c>
      <c r="T11" s="51">
        <f t="shared" si="7"/>
        <v>84825000</v>
      </c>
      <c r="U11" s="49">
        <f t="shared" si="8"/>
        <v>0.004326472148541114</v>
      </c>
    </row>
    <row r="12" spans="2:21" ht="18" customHeight="1" thickBot="1">
      <c r="B12" s="81" t="str">
        <f>'Data Entry'!A12</f>
        <v>7. Cases Resulting in Delinquent Findings</v>
      </c>
      <c r="C12" s="30">
        <f>'Data Entry'!C12</f>
        <v>84</v>
      </c>
      <c r="D12" s="80">
        <f>IF(((AND(C69&gt;0,C12&gt;0))),(C12/(C69)),0)</f>
        <v>100</v>
      </c>
      <c r="E12" s="30">
        <f>'Data Entry'!E12</f>
        <v>3</v>
      </c>
      <c r="F12" s="80">
        <f>IF(((AND($D$69&gt;0,$E$12&gt;0))),(E12/(D69)),0)</f>
        <v>100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3</v>
      </c>
      <c r="O12" s="13">
        <f>(D69*L69)-E12</f>
        <v>0</v>
      </c>
      <c r="P12" s="13">
        <f t="shared" si="4"/>
        <v>84</v>
      </c>
      <c r="Q12" s="13">
        <f>(C69*L69)-C12</f>
        <v>0</v>
      </c>
      <c r="R12" s="13">
        <f t="shared" si="5"/>
        <v>87</v>
      </c>
      <c r="S12" s="51">
        <f t="shared" si="6"/>
        <v>0</v>
      </c>
      <c r="T12" s="51">
        <f t="shared" si="7"/>
        <v>0</v>
      </c>
      <c r="U12" s="49" t="str">
        <f t="shared" si="8"/>
        <v>- -</v>
      </c>
    </row>
    <row r="13" spans="2:21" ht="18" customHeight="1" thickBot="1">
      <c r="B13" s="81" t="str">
        <f>'Data Entry'!A13</f>
        <v>8. Cases resulting in Probation Placement</v>
      </c>
      <c r="C13" s="30">
        <f>'Data Entry'!C13</f>
        <v>84</v>
      </c>
      <c r="D13" s="80">
        <f>IF(((AND(C70&gt;0,C13&gt;0))),(C13/(C70)),0)</f>
        <v>100</v>
      </c>
      <c r="E13" s="30">
        <f>'Data Entry'!E13</f>
        <v>3</v>
      </c>
      <c r="F13" s="80">
        <f>IF(((AND($D$70&gt;0,$E$13&gt;0))),($E$13/($D$70)),0)</f>
        <v>100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3</v>
      </c>
      <c r="O13" s="13">
        <f>(D70*L70)-E13</f>
        <v>0</v>
      </c>
      <c r="P13" s="13">
        <f t="shared" si="4"/>
        <v>84</v>
      </c>
      <c r="Q13" s="13">
        <f>(C70*L70)-C13</f>
        <v>0</v>
      </c>
      <c r="R13" s="13">
        <f t="shared" si="5"/>
        <v>87</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12</v>
      </c>
      <c r="D14" s="80">
        <f>IF(((AND(C70&gt;0,C14&gt;0))),((C14/(C70))),0)</f>
        <v>14.285714285714286</v>
      </c>
      <c r="E14" s="30">
        <f>'Data Entry'!E14</f>
        <v>0</v>
      </c>
      <c r="F14" s="80">
        <f>IF(((AND($D$70&gt;0,$E$14&gt;0))),(($E$14/($D$70))),0)</f>
        <v>0</v>
      </c>
      <c r="G14" s="96" t="str">
        <f t="shared" si="0"/>
        <v>**</v>
      </c>
      <c r="H14" s="94"/>
      <c r="I14" s="84"/>
      <c r="J14" s="75">
        <f>IF((ABS($U14)&gt;Defaults!D$7),1,2)</f>
        <v>2</v>
      </c>
      <c r="K14" s="29">
        <f>IF((AND(N14&gt;Defaults!B$12,(N14+O14)&gt;Defaults!B$13,P14&gt;Defaults!B$12,(P14+Q14)&gt;Defaults!B$13)),1,20)</f>
        <v>20</v>
      </c>
      <c r="L14">
        <f t="shared" si="1"/>
        <v>40</v>
      </c>
      <c r="M14" t="b">
        <f t="shared" si="2"/>
        <v>1</v>
      </c>
      <c r="N14" s="13">
        <f t="shared" si="3"/>
        <v>0</v>
      </c>
      <c r="O14" s="13">
        <f>(D70*L70)-E14</f>
        <v>3</v>
      </c>
      <c r="P14" s="13">
        <f t="shared" si="4"/>
        <v>12</v>
      </c>
      <c r="Q14" s="13">
        <f>(C70*L70)-C14</f>
        <v>72</v>
      </c>
      <c r="R14" s="13">
        <f t="shared" si="5"/>
        <v>87</v>
      </c>
      <c r="S14" s="51">
        <f t="shared" si="6"/>
        <v>112752</v>
      </c>
      <c r="T14" s="51">
        <f t="shared" si="7"/>
        <v>226800</v>
      </c>
      <c r="U14" s="49">
        <f t="shared" si="8"/>
        <v>0.49714285714285716</v>
      </c>
    </row>
    <row r="15" spans="2:21" ht="14.25" thickBot="1">
      <c r="B15" s="81" t="str">
        <f>'Data Entry'!A15</f>
        <v>10. Cases Transferred to Adult Court </v>
      </c>
      <c r="C15" s="30">
        <f>'Data Entry'!C15</f>
        <v>1</v>
      </c>
      <c r="D15" s="80">
        <f>IF(((AND(C69&gt;0,C15&gt;0))),((C15/(C69))),0)</f>
        <v>1.1904761904761905</v>
      </c>
      <c r="E15" s="30">
        <f>'Data Entry'!E15</f>
        <v>0</v>
      </c>
      <c r="F15" s="80">
        <f>IF(((AND($D$69&gt;0,$E$15&gt;0))),(($E$15/($D$69))),0)</f>
        <v>0</v>
      </c>
      <c r="G15" s="96" t="str">
        <f t="shared" si="0"/>
        <v>**</v>
      </c>
      <c r="H15" s="94"/>
      <c r="I15" s="84"/>
      <c r="J15" s="75">
        <f>IF((ABS($U15)&gt;Defaults!D$7),1,2)</f>
        <v>2</v>
      </c>
      <c r="K15" s="29">
        <f>IF((AND(N15&gt;Defaults!B$12,(N15+O15)&gt;Defaults!B$13,P15&gt;Defaults!B$12,(P15+Q15)&gt;Defaults!B$13)),1,20)</f>
        <v>20</v>
      </c>
      <c r="L15">
        <f t="shared" si="1"/>
        <v>40</v>
      </c>
      <c r="M15" t="b">
        <f t="shared" si="2"/>
        <v>1</v>
      </c>
      <c r="N15" s="13">
        <f t="shared" si="3"/>
        <v>0</v>
      </c>
      <c r="O15" s="13">
        <f>(D69*L69)-E15</f>
        <v>3</v>
      </c>
      <c r="P15" s="13">
        <f t="shared" si="4"/>
        <v>1</v>
      </c>
      <c r="Q15" s="13">
        <f>(C69*L69)-C15</f>
        <v>83</v>
      </c>
      <c r="R15" s="13">
        <f t="shared" si="5"/>
        <v>87</v>
      </c>
      <c r="S15" s="51">
        <f t="shared" si="6"/>
        <v>783</v>
      </c>
      <c r="T15" s="51">
        <f t="shared" si="7"/>
        <v>21672</v>
      </c>
      <c r="U15" s="49">
        <f t="shared" si="8"/>
        <v>0.03612956810631229</v>
      </c>
    </row>
    <row r="16" spans="2:21" ht="12" customHeight="1">
      <c r="B16" s="41" t="s">
        <v>81</v>
      </c>
      <c r="C16" s="3"/>
      <c r="D16" s="3"/>
      <c r="E16" s="3"/>
      <c r="F16" s="3"/>
      <c r="G16" s="3"/>
      <c r="H16" s="3"/>
      <c r="I16" s="3"/>
      <c r="N16" s="11"/>
      <c r="O16" s="11"/>
      <c r="P16" s="11"/>
      <c r="Q16" s="11"/>
      <c r="R16" s="11"/>
      <c r="S16" s="51"/>
      <c r="T16" s="51"/>
      <c r="U16" s="49"/>
    </row>
    <row r="17" spans="2:21" ht="12" customHeight="1">
      <c r="B17" s="41"/>
      <c r="C17" s="3"/>
      <c r="D17" s="3"/>
      <c r="E17" s="3"/>
      <c r="F17" s="3"/>
      <c r="G17" s="3"/>
      <c r="H17" s="3"/>
      <c r="I17" s="3"/>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11.25" customHeight="1">
      <c r="B24" s="35"/>
      <c r="C24" s="35"/>
      <c r="D24" s="35"/>
      <c r="E24" s="35"/>
      <c r="F24" s="35"/>
      <c r="G24" s="35"/>
      <c r="H24" s="35"/>
      <c r="I24" s="35"/>
      <c r="K24" t="s">
        <v>86</v>
      </c>
      <c r="L24" t="s">
        <v>76</v>
      </c>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15.248</v>
      </c>
      <c r="D42" s="38">
        <f>E6/1000</f>
        <v>1.204</v>
      </c>
      <c r="E42" s="38">
        <f>MAX(C42:D42)</f>
        <v>15.248</v>
      </c>
      <c r="G42" t="str">
        <f>B42</f>
        <v>per 1000 youth</v>
      </c>
      <c r="L42" s="18">
        <v>1000</v>
      </c>
      <c r="M42" s="18"/>
      <c r="R42" s="37"/>
    </row>
    <row r="43" spans="2:18" ht="13.5" hidden="1">
      <c r="B43" s="36" t="s">
        <v>41</v>
      </c>
      <c r="C43" s="38">
        <f>C7/100</f>
        <v>3.25</v>
      </c>
      <c r="D43" s="38">
        <f>E7/100</f>
        <v>0.12</v>
      </c>
      <c r="E43" s="38">
        <f>MAX(C43:D43,0)</f>
        <v>3.25</v>
      </c>
      <c r="G43" t="str">
        <f>B43</f>
        <v>per 100 arrests</v>
      </c>
      <c r="L43" s="18">
        <v>100</v>
      </c>
      <c r="M43" s="18"/>
      <c r="R43" s="37"/>
    </row>
    <row r="44" spans="2:18" ht="13.5" hidden="1">
      <c r="B44" s="36" t="s">
        <v>54</v>
      </c>
      <c r="C44" s="38">
        <f>C8/100</f>
        <v>3.25</v>
      </c>
      <c r="D44" s="38">
        <f>E8/100</f>
        <v>0.12</v>
      </c>
      <c r="E44" s="38">
        <f>MAX(C44:D44,0)</f>
        <v>3.25</v>
      </c>
      <c r="G44" t="str">
        <f>B44</f>
        <v>per 100 referrals</v>
      </c>
      <c r="L44" s="18">
        <v>100</v>
      </c>
      <c r="M44" s="18"/>
      <c r="R44" s="37"/>
    </row>
    <row r="45" spans="2:18" ht="13.5" hidden="1">
      <c r="B45" s="39" t="s">
        <v>43</v>
      </c>
      <c r="C45" s="37">
        <f>C11/100</f>
        <v>0.84</v>
      </c>
      <c r="D45" s="37">
        <f>E11/100</f>
        <v>0.03</v>
      </c>
      <c r="E45" s="38">
        <f>MAX(C45:D45,0)</f>
        <v>0.84</v>
      </c>
      <c r="G45" t="str">
        <f>B45</f>
        <v>per 100 youth petitioned</v>
      </c>
      <c r="L45" s="18">
        <v>100</v>
      </c>
      <c r="M45" s="18"/>
      <c r="R45" s="37"/>
    </row>
    <row r="46" spans="2:18" ht="13.5" hidden="1">
      <c r="B46" s="39" t="s">
        <v>44</v>
      </c>
      <c r="C46" s="37">
        <f>C12/100</f>
        <v>0.84</v>
      </c>
      <c r="D46" s="37">
        <f>E12/100</f>
        <v>0.03</v>
      </c>
      <c r="E46" s="38">
        <f>MAX(C46:D46)</f>
        <v>0.84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15.248</v>
      </c>
      <c r="D48" s="38">
        <f>D42</f>
        <v>1.204</v>
      </c>
      <c r="E48" s="38">
        <f>MAX(C48:D48)</f>
        <v>15.248</v>
      </c>
      <c r="G48" t="str">
        <f>G42</f>
        <v>per 1000 youth</v>
      </c>
      <c r="L48" s="76">
        <f>L42</f>
        <v>1000</v>
      </c>
      <c r="M48" s="76"/>
      <c r="N48" s="11"/>
      <c r="O48" s="11"/>
      <c r="P48" s="11"/>
      <c r="Q48" s="11"/>
      <c r="R48" s="11"/>
    </row>
    <row r="49" spans="2:18" ht="13.5" hidden="1">
      <c r="B49" s="36" t="str">
        <f aca="true" t="shared" si="9" ref="B49:D50">IF(($E43&gt;0),B43,B42)</f>
        <v>per 100 arrests</v>
      </c>
      <c r="C49" s="36">
        <f t="shared" si="9"/>
        <v>3.25</v>
      </c>
      <c r="D49" s="36">
        <f t="shared" si="9"/>
        <v>0.12</v>
      </c>
      <c r="E49" s="37">
        <f>MAX(C49:D49)</f>
        <v>3.25</v>
      </c>
      <c r="G49" t="str">
        <f>G43</f>
        <v>per 100 arrests</v>
      </c>
      <c r="L49" s="77">
        <f>IF(($E43&gt;0),L43,L42)</f>
        <v>100</v>
      </c>
      <c r="M49" s="77"/>
      <c r="N49" s="11"/>
      <c r="O49" s="11"/>
      <c r="P49" s="11"/>
      <c r="Q49" s="11"/>
      <c r="R49" s="11"/>
    </row>
    <row r="50" spans="2:18" ht="13.5" hidden="1">
      <c r="B50" s="36" t="str">
        <f t="shared" si="9"/>
        <v>per 100 referrals</v>
      </c>
      <c r="C50" s="36">
        <f t="shared" si="9"/>
        <v>3.25</v>
      </c>
      <c r="D50" s="36">
        <f t="shared" si="9"/>
        <v>0.12</v>
      </c>
      <c r="E50" s="37">
        <f>MAX(C50:D50)</f>
        <v>3.25</v>
      </c>
      <c r="G50" t="str">
        <f>G44</f>
        <v>per 100 referrals</v>
      </c>
      <c r="L50" s="77">
        <f>IF(($E44&gt;0),L44,L43)</f>
        <v>100</v>
      </c>
      <c r="M50" s="77"/>
      <c r="N50" s="11"/>
      <c r="O50" s="11"/>
      <c r="P50" s="11"/>
      <c r="Q50" s="11"/>
      <c r="R50" s="11"/>
    </row>
    <row r="51" spans="2:13" ht="13.5" hidden="1">
      <c r="B51" s="36" t="str">
        <f>IF(($E45&gt;0),B45,B43)</f>
        <v>per 100 youth petitioned</v>
      </c>
      <c r="C51" s="36">
        <f>IF(($E45&gt;0),C45,C44)</f>
        <v>0.84</v>
      </c>
      <c r="D51" s="36">
        <f>IF(($E45&gt;0),D45,D44)</f>
        <v>0.03</v>
      </c>
      <c r="E51" s="37">
        <f>MAX(C51:D51)</f>
        <v>0.84</v>
      </c>
      <c r="G51" t="str">
        <f>G45</f>
        <v>per 100 youth petitioned</v>
      </c>
      <c r="L51" s="77">
        <f>IF(($E45&gt;0),L45,L44)</f>
        <v>100</v>
      </c>
      <c r="M51" s="77"/>
    </row>
    <row r="52" spans="2:13" ht="13.5" hidden="1">
      <c r="B52" s="37" t="str">
        <f>IF(($E46&gt;0),B46,B45)</f>
        <v>per 100 youth found delinquent</v>
      </c>
      <c r="C52" s="37">
        <f>IF(($E46&gt;0),C46,C45)</f>
        <v>0.84</v>
      </c>
      <c r="D52" s="37">
        <f>IF(($E46&gt;0),D46,D45)</f>
        <v>0.03</v>
      </c>
      <c r="E52" s="38">
        <f>MAX(C52:D52)</f>
        <v>0.84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15.248</v>
      </c>
      <c r="D54" s="38">
        <f>D48</f>
        <v>1.204</v>
      </c>
      <c r="E54" s="38">
        <f>MAX(C54:D54)</f>
        <v>15.248</v>
      </c>
      <c r="G54" t="str">
        <f>G48</f>
        <v>per 1000 youth</v>
      </c>
      <c r="L54" s="76">
        <f>L48</f>
        <v>1000</v>
      </c>
      <c r="M54" s="76"/>
    </row>
    <row r="55" spans="2:13" ht="13.5" hidden="1">
      <c r="B55" s="36" t="str">
        <f aca="true" t="shared" si="10" ref="B55:D56">IF(($E49&gt;0),B49,B48)</f>
        <v>per 100 arrests</v>
      </c>
      <c r="C55" s="36">
        <f t="shared" si="10"/>
        <v>3.25</v>
      </c>
      <c r="D55" s="36">
        <f t="shared" si="10"/>
        <v>0.12</v>
      </c>
      <c r="E55" s="37">
        <f>MAX(C55:D55)</f>
        <v>3.25</v>
      </c>
      <c r="G55" t="str">
        <f>G49</f>
        <v>per 100 arrests</v>
      </c>
      <c r="L55" s="77">
        <f>IF(($E49&gt;0),L49,L48)</f>
        <v>100</v>
      </c>
      <c r="M55" s="77"/>
    </row>
    <row r="56" spans="2:13" ht="13.5" hidden="1">
      <c r="B56" s="36" t="str">
        <f t="shared" si="10"/>
        <v>per 100 referrals</v>
      </c>
      <c r="C56" s="36">
        <f t="shared" si="10"/>
        <v>3.25</v>
      </c>
      <c r="D56" s="36">
        <f t="shared" si="10"/>
        <v>0.12</v>
      </c>
      <c r="E56" s="37">
        <f>MAX(C56:D56)</f>
        <v>3.25</v>
      </c>
      <c r="G56" t="str">
        <f>G50</f>
        <v>per 100 referrals</v>
      </c>
      <c r="L56" s="77">
        <f>IF(($E50&gt;0),L50,L49)</f>
        <v>100</v>
      </c>
      <c r="M56" s="77"/>
    </row>
    <row r="57" spans="2:13" ht="13.5" hidden="1">
      <c r="B57" s="36" t="str">
        <f>IF(($E51&gt;0),B51,B49)</f>
        <v>per 100 youth petitioned</v>
      </c>
      <c r="C57" s="36">
        <f>IF(($E51&gt;0),C51,C50)</f>
        <v>0.84</v>
      </c>
      <c r="D57" s="36">
        <f>IF(($E51&gt;0),D51,D50)</f>
        <v>0.03</v>
      </c>
      <c r="E57" s="37">
        <f>MAX(C57:D57)</f>
        <v>0.84</v>
      </c>
      <c r="G57" t="str">
        <f>G51</f>
        <v>per 100 youth petitioned</v>
      </c>
      <c r="L57" s="77">
        <f>IF(($E51&gt;0),L51,L50)</f>
        <v>100</v>
      </c>
      <c r="M57" s="77"/>
    </row>
    <row r="58" spans="2:13" ht="13.5" hidden="1">
      <c r="B58" s="37" t="str">
        <f>IF(($E52&gt;0),B52,B51)</f>
        <v>per 100 youth found delinquent</v>
      </c>
      <c r="C58" s="37">
        <f>IF(($E52&gt;0),C52,C51)</f>
        <v>0.84</v>
      </c>
      <c r="D58" s="37">
        <f>IF(($E52&gt;0),D52,D51)</f>
        <v>0.03</v>
      </c>
      <c r="E58" s="38">
        <f>MAX(C58:D58)</f>
        <v>0.84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15.248</v>
      </c>
      <c r="D60" s="38">
        <f>D54</f>
        <v>1.204</v>
      </c>
      <c r="E60" s="38">
        <f>MAX(C60:D60)</f>
        <v>15.248</v>
      </c>
      <c r="G60" t="str">
        <f>G54</f>
        <v>per 1000 youth</v>
      </c>
      <c r="L60" s="76">
        <f>L54</f>
        <v>1000</v>
      </c>
      <c r="M60" s="76"/>
    </row>
    <row r="61" spans="2:13" ht="13.5" hidden="1">
      <c r="B61" s="36" t="str">
        <f aca="true" t="shared" si="11" ref="B61:D62">IF(($E55&gt;0),B55,B54)</f>
        <v>per 100 arrests</v>
      </c>
      <c r="C61" s="36">
        <f t="shared" si="11"/>
        <v>3.25</v>
      </c>
      <c r="D61" s="36">
        <f t="shared" si="11"/>
        <v>0.12</v>
      </c>
      <c r="E61" s="37">
        <f>MAX(C61:D61)</f>
        <v>3.25</v>
      </c>
      <c r="G61" t="str">
        <f>G55</f>
        <v>per 100 arrests</v>
      </c>
      <c r="L61" s="77">
        <f>IF(($E55&gt;0),L55,L54)</f>
        <v>100</v>
      </c>
      <c r="M61" s="77"/>
    </row>
    <row r="62" spans="2:13" ht="13.5" hidden="1">
      <c r="B62" s="36" t="str">
        <f t="shared" si="11"/>
        <v>per 100 referrals</v>
      </c>
      <c r="C62" s="36">
        <f t="shared" si="11"/>
        <v>3.25</v>
      </c>
      <c r="D62" s="36">
        <f t="shared" si="11"/>
        <v>0.12</v>
      </c>
      <c r="E62" s="37">
        <f>MAX(C62:D62)</f>
        <v>3.25</v>
      </c>
      <c r="G62" t="str">
        <f>G56</f>
        <v>per 100 referrals</v>
      </c>
      <c r="L62" s="77">
        <f>IF(($E56&gt;0),L56,L55)</f>
        <v>100</v>
      </c>
      <c r="M62" s="77"/>
    </row>
    <row r="63" spans="2:13" ht="13.5" hidden="1">
      <c r="B63" s="36" t="str">
        <f>IF(($E57&gt;0),B57,B55)</f>
        <v>per 100 youth petitioned</v>
      </c>
      <c r="C63" s="36">
        <f>IF(($E57&gt;0),C57,C56)</f>
        <v>0.84</v>
      </c>
      <c r="D63" s="36">
        <f>IF(($E57&gt;0),D57,D56)</f>
        <v>0.03</v>
      </c>
      <c r="E63" s="37">
        <f>MAX(C63:D63)</f>
        <v>0.84</v>
      </c>
      <c r="G63" t="str">
        <f>G57</f>
        <v>per 100 youth petitioned</v>
      </c>
      <c r="L63" s="77">
        <f>IF(($E57&gt;0),L57,L56)</f>
        <v>100</v>
      </c>
      <c r="M63" s="77"/>
    </row>
    <row r="64" spans="2:13" ht="13.5" hidden="1">
      <c r="B64" s="37" t="str">
        <f>IF(($E58&gt;0),B58,B57)</f>
        <v>per 100 youth found delinquent</v>
      </c>
      <c r="C64" s="37">
        <f>IF(($E58&gt;0),C58,C57)</f>
        <v>0.84</v>
      </c>
      <c r="D64" s="37">
        <f>IF(($E58&gt;0),D58,D57)</f>
        <v>0.03</v>
      </c>
      <c r="E64" s="38">
        <f>MAX(C64:D64)</f>
        <v>0.84</v>
      </c>
      <c r="G64" t="str">
        <f>G58</f>
        <v>per 100 youth found delinquent</v>
      </c>
      <c r="L64" s="76">
        <f>IF(($E58&gt;0),L58,L57)</f>
        <v>100</v>
      </c>
      <c r="M64" s="76"/>
    </row>
    <row r="65" spans="2:13" ht="13.5" hidden="1">
      <c r="B65" s="47" t="s">
        <v>57</v>
      </c>
      <c r="L65" s="18"/>
      <c r="M65" s="18"/>
    </row>
    <row r="66" spans="2:13" ht="13.5" hidden="1">
      <c r="B66" s="37" t="str">
        <f>B60</f>
        <v>per 1000 youth</v>
      </c>
      <c r="C66" s="38">
        <f>C60</f>
        <v>15.248</v>
      </c>
      <c r="D66" s="38">
        <f>D60</f>
        <v>1.204</v>
      </c>
      <c r="E66" s="38">
        <f>MAX(C66:D66)</f>
        <v>15.248</v>
      </c>
      <c r="G66" t="str">
        <f>G60</f>
        <v>per 1000 youth</v>
      </c>
      <c r="L66" s="76">
        <f>L60</f>
        <v>1000</v>
      </c>
      <c r="M66" s="76">
        <f>IF((B66=G66),1,2)</f>
        <v>1</v>
      </c>
    </row>
    <row r="67" spans="2:13" ht="13.5" hidden="1">
      <c r="B67" s="36" t="str">
        <f aca="true" t="shared" si="12" ref="B67:D68">IF(($E61&gt;0),B61,B60)</f>
        <v>per 100 arrests</v>
      </c>
      <c r="C67" s="36">
        <f t="shared" si="12"/>
        <v>3.25</v>
      </c>
      <c r="D67" s="36">
        <f t="shared" si="12"/>
        <v>0.12</v>
      </c>
      <c r="E67" s="37">
        <f>MAX(C67:D67)</f>
        <v>3.25</v>
      </c>
      <c r="G67" t="str">
        <f>G61</f>
        <v>per 100 arrests</v>
      </c>
      <c r="L67" s="77">
        <f>IF(($E61&gt;0),L61,L60)</f>
        <v>100</v>
      </c>
      <c r="M67" s="76">
        <f>IF((B67=G67),1,2)</f>
        <v>1</v>
      </c>
    </row>
    <row r="68" spans="2:13" ht="13.5" hidden="1">
      <c r="B68" s="36" t="str">
        <f t="shared" si="12"/>
        <v>per 100 referrals</v>
      </c>
      <c r="C68" s="36">
        <f t="shared" si="12"/>
        <v>3.25</v>
      </c>
      <c r="D68" s="36">
        <f t="shared" si="12"/>
        <v>0.12</v>
      </c>
      <c r="E68" s="37">
        <f>MAX(C68:D68)</f>
        <v>3.25</v>
      </c>
      <c r="G68" t="str">
        <f>G62</f>
        <v>per 100 referrals</v>
      </c>
      <c r="L68" s="77">
        <f>IF(($E62&gt;0),L62,L61)</f>
        <v>100</v>
      </c>
      <c r="M68" s="76">
        <f>IF((B68=G68),1,2)</f>
        <v>1</v>
      </c>
    </row>
    <row r="69" spans="2:13" ht="13.5" hidden="1">
      <c r="B69" s="36" t="str">
        <f>IF(($E63&gt;0),B63,B61)</f>
        <v>per 100 youth petitioned</v>
      </c>
      <c r="C69" s="36">
        <f>IF(($E63&gt;0),C63,C62)</f>
        <v>0.84</v>
      </c>
      <c r="D69" s="36">
        <f>IF(($E63&gt;0),D63,D62)</f>
        <v>0.03</v>
      </c>
      <c r="E69" s="37">
        <f>MAX(C69:D69)</f>
        <v>0.84</v>
      </c>
      <c r="G69" t="str">
        <f>G63</f>
        <v>per 100 youth petitioned</v>
      </c>
      <c r="L69" s="77">
        <f>IF(($E63&gt;0),L63,L62)</f>
        <v>100</v>
      </c>
      <c r="M69" s="76">
        <f>IF((B69=G69),1,2)</f>
        <v>1</v>
      </c>
    </row>
    <row r="70" spans="2:13" ht="13.5" hidden="1">
      <c r="B70" s="37" t="str">
        <f>IF(($E64&gt;0),B64,B63)</f>
        <v>per 100 youth found delinquent</v>
      </c>
      <c r="C70" s="37">
        <f>IF(($E64&gt;0),C64,C63)</f>
        <v>0.84</v>
      </c>
      <c r="D70" s="37">
        <f>IF(($E64&gt;0),D64,D63)</f>
        <v>0.03</v>
      </c>
      <c r="E70" s="38">
        <f>MAX(C70:D70)</f>
        <v>0.84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F27">
    <cfRule type="expression" priority="4" dxfId="96" stopIfTrue="1">
      <formula>M66=2</formula>
    </cfRule>
  </conditionalFormatting>
  <conditionalFormatting sqref="F28">
    <cfRule type="expression" priority="5" dxfId="93" stopIfTrue="1">
      <formula>M67=2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2" width="0" style="0" hidden="1" customWidth="1"/>
  </cols>
  <sheetData>
    <row r="1" spans="2:18" ht="27.75" customHeight="1">
      <c r="B1" s="1" t="s">
        <v>20</v>
      </c>
      <c r="D1" s="88" t="s">
        <v>74</v>
      </c>
      <c r="E1" s="25"/>
      <c r="F1" s="123" t="str">
        <f>'Data Entry'!F5</f>
        <v>Asian</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Cascade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15248</v>
      </c>
      <c r="D6" s="79"/>
      <c r="E6" s="30">
        <f>'Data Entry'!F6</f>
        <v>251</v>
      </c>
      <c r="F6" s="79"/>
      <c r="G6" s="97"/>
      <c r="H6" s="93"/>
      <c r="I6" s="83"/>
      <c r="J6" s="78"/>
      <c r="K6" s="72"/>
      <c r="L6">
        <f>IF(('Data Entry'!F6&gt;('Data Entry'!B6/100)),1,100)</f>
        <v>1</v>
      </c>
      <c r="M6" t="s">
        <v>82</v>
      </c>
      <c r="N6" s="11"/>
      <c r="O6" s="11"/>
      <c r="P6" s="11"/>
      <c r="Q6" s="11"/>
      <c r="R6" s="11"/>
      <c r="S6" s="51"/>
      <c r="T6" s="51"/>
      <c r="U6" s="49"/>
    </row>
    <row r="7" spans="2:21" ht="18" customHeight="1" thickBot="1">
      <c r="B7" s="81" t="str">
        <f>'Data Entry'!A7</f>
        <v>2. Juvenile Arrests </v>
      </c>
      <c r="C7" s="30">
        <f>'Data Entry'!C7</f>
        <v>325</v>
      </c>
      <c r="D7" s="80">
        <f>IF((AND(C66&gt;0,C7&gt;0)),(C7/C66),0)</f>
        <v>21.31427072402938</v>
      </c>
      <c r="E7" s="30">
        <f>'Data Entry'!F7</f>
        <v>1</v>
      </c>
      <c r="F7" s="80">
        <f>IF((AND($E$7&gt;0,$D$66&gt;0)),($E$7/$D$66),0)</f>
        <v>3.9840637450199203</v>
      </c>
      <c r="G7" s="96" t="str">
        <f aca="true" t="shared" si="0" ref="G7:G15">IF(L$6=100,"*",IF(M7=FALSE,"--",IF(K7=20,"**",($F7/$D7))))</f>
        <v>**</v>
      </c>
      <c r="H7" s="94"/>
      <c r="I7" s="84"/>
      <c r="J7" s="75">
        <f>IF((ABS($U7)&gt;Defaults!D$7),1,2)</f>
        <v>2</v>
      </c>
      <c r="K7" s="29">
        <f>IF((AND(N7&gt;Defaults!B$12,(N7+O7)&gt;Defaults!B$13,P7&gt;Defaults!B$12,(P7+Q7)&gt;Defaults!B$13)),1,20)</f>
        <v>20</v>
      </c>
      <c r="L7">
        <f aca="true" t="shared" si="1" ref="L7:L15">(J7*K7+L$6)-1</f>
        <v>40</v>
      </c>
      <c r="M7" t="b">
        <f aca="true" t="shared" si="2" ref="M7:M15">(ISNUMBER(J7))</f>
        <v>1</v>
      </c>
      <c r="N7" s="13">
        <f aca="true" t="shared" si="3" ref="N7:N15">E7</f>
        <v>1</v>
      </c>
      <c r="O7" s="13">
        <f>E6-E7</f>
        <v>250</v>
      </c>
      <c r="P7" s="13">
        <f aca="true" t="shared" si="4" ref="P7:P15">C7</f>
        <v>325</v>
      </c>
      <c r="Q7" s="13">
        <f>C6-C7</f>
        <v>14923</v>
      </c>
      <c r="R7" s="13">
        <f aca="true" t="shared" si="5" ref="R7:R15">SUM(N7:Q7)</f>
        <v>15499</v>
      </c>
      <c r="S7" s="51">
        <f aca="true" t="shared" si="6" ref="S7:S15">R7*((((N7*Q7)-(O7*P7))^2))</f>
        <v>68184300128571</v>
      </c>
      <c r="T7" s="51">
        <f aca="true" t="shared" si="7" ref="T7:T15">(N7+O7)*(P7+Q7)*(N7+P7)*(O7+Q7)</f>
        <v>18931091852704</v>
      </c>
      <c r="U7" s="49">
        <f aca="true" t="shared" si="8" ref="U7:U15">IF((S7&gt;0),S7/T7,"- -")</f>
        <v>3.601709856942666</v>
      </c>
    </row>
    <row r="8" spans="2:21" ht="18" customHeight="1" thickBot="1">
      <c r="B8" s="81" t="str">
        <f>'Data Entry'!A8</f>
        <v>3. Refer to Juvenile Court</v>
      </c>
      <c r="C8" s="30">
        <f>'Data Entry'!C8</f>
        <v>325</v>
      </c>
      <c r="D8" s="80">
        <f>IF((AND(C67&gt;0,C8&gt;0)),(C8/C67),0)</f>
        <v>100</v>
      </c>
      <c r="E8" s="30">
        <f>'Data Entry'!F8</f>
        <v>1</v>
      </c>
      <c r="F8" s="80">
        <f>IF((AND($E$8&gt;0,$D$67&gt;0)),($E8/$D67),0)</f>
        <v>100</v>
      </c>
      <c r="G8" s="96" t="str">
        <f t="shared" si="0"/>
        <v>**</v>
      </c>
      <c r="H8" s="94"/>
      <c r="I8" s="84"/>
      <c r="J8" s="75">
        <f>IF((ABS($U8)&gt;Defaults!D$7),1,2)</f>
        <v>1</v>
      </c>
      <c r="K8" s="29">
        <f>IF((AND(N8&gt;Defaults!B$12,(N8+O8)&gt;Defaults!B$13,P8&gt;Defaults!B$12,(P8+Q8)&gt;Defaults!B$13)),1,20)</f>
        <v>20</v>
      </c>
      <c r="L8">
        <f t="shared" si="1"/>
        <v>20</v>
      </c>
      <c r="M8" t="b">
        <f t="shared" si="2"/>
        <v>1</v>
      </c>
      <c r="N8" s="13">
        <f t="shared" si="3"/>
        <v>1</v>
      </c>
      <c r="O8" s="13">
        <f>((D67*L67)-E8)+0.05</f>
        <v>0.05</v>
      </c>
      <c r="P8" s="13">
        <f t="shared" si="4"/>
        <v>325</v>
      </c>
      <c r="Q8" s="13">
        <f>(C$67*L67)-C8</f>
        <v>0</v>
      </c>
      <c r="R8" s="13">
        <f t="shared" si="5"/>
        <v>326.05</v>
      </c>
      <c r="S8" s="51">
        <f t="shared" si="6"/>
        <v>86097.578125</v>
      </c>
      <c r="T8" s="51">
        <f t="shared" si="7"/>
        <v>5562.375</v>
      </c>
      <c r="U8" s="49">
        <f t="shared" si="8"/>
        <v>15.478564125036518</v>
      </c>
    </row>
    <row r="9" spans="2:21" ht="18" customHeight="1" thickBot="1">
      <c r="B9" s="81" t="str">
        <f>'Data Entry'!A9</f>
        <v>4. Cases Diverted </v>
      </c>
      <c r="C9" s="30">
        <f>'Data Entry'!C9</f>
        <v>212</v>
      </c>
      <c r="D9" s="80">
        <f>IF((AND(C68&gt;0,C9&gt;0)),((C9/C68)),0)</f>
        <v>65.23076923076923</v>
      </c>
      <c r="E9" s="30">
        <f>'Data Entry'!F9</f>
        <v>1</v>
      </c>
      <c r="F9" s="80">
        <f>IF((AND($E$9&gt;0,$D$68&gt;0)),(($E$9/$D$68)),0)</f>
        <v>100</v>
      </c>
      <c r="G9" s="96" t="str">
        <f t="shared" si="0"/>
        <v>**</v>
      </c>
      <c r="H9" s="94"/>
      <c r="I9" s="84"/>
      <c r="J9" s="75">
        <f>IF((ABS($U9)&gt;Defaults!D$7),1,2)</f>
        <v>2</v>
      </c>
      <c r="K9" s="29">
        <f>IF((AND(N9&gt;Defaults!B$12,(N9+O9)&gt;Defaults!B$13,P9&gt;Defaults!B$12,(P9+Q9)&gt;Defaults!B$13)),1,20)</f>
        <v>20</v>
      </c>
      <c r="L9">
        <f t="shared" si="1"/>
        <v>40</v>
      </c>
      <c r="M9" t="b">
        <f t="shared" si="2"/>
        <v>1</v>
      </c>
      <c r="N9" s="13">
        <f t="shared" si="3"/>
        <v>1</v>
      </c>
      <c r="O9" s="13">
        <f>(D$68*L68)-E9</f>
        <v>0</v>
      </c>
      <c r="P9" s="13">
        <f t="shared" si="4"/>
        <v>212</v>
      </c>
      <c r="Q9" s="13">
        <f>(C$68*L68)-C9</f>
        <v>113</v>
      </c>
      <c r="R9" s="13">
        <f t="shared" si="5"/>
        <v>326</v>
      </c>
      <c r="S9" s="51">
        <f t="shared" si="6"/>
        <v>4162694</v>
      </c>
      <c r="T9" s="51">
        <f t="shared" si="7"/>
        <v>7822425</v>
      </c>
      <c r="U9" s="49">
        <f t="shared" si="8"/>
        <v>0.5321487901769592</v>
      </c>
    </row>
    <row r="10" spans="2:21" ht="18" customHeight="1" thickBot="1">
      <c r="B10" s="81" t="str">
        <f>'Data Entry'!A10</f>
        <v>5. Cases Involving Secure Detention</v>
      </c>
      <c r="C10" s="30">
        <f>'Data Entry'!C10</f>
        <v>216</v>
      </c>
      <c r="D10" s="80">
        <f>IF(((AND(C68&gt;0,C10&gt;0))),(C10/(C68)),0)</f>
        <v>66.46153846153847</v>
      </c>
      <c r="E10" s="30">
        <f>'Data Entry'!F10</f>
        <v>0</v>
      </c>
      <c r="F10" s="80">
        <f>IF(((AND($E$10&gt;0,$D$68&gt;0))),($E$10/($D$68)),0)</f>
        <v>0</v>
      </c>
      <c r="G10" s="96" t="str">
        <f t="shared" si="0"/>
        <v>**</v>
      </c>
      <c r="H10" s="94"/>
      <c r="I10" s="84"/>
      <c r="J10" s="75">
        <f>IF((ABS($U10)&gt;Defaults!D$7),1,2)</f>
        <v>2</v>
      </c>
      <c r="K10" s="29">
        <f>IF((AND(N10&gt;Defaults!B$12,(N10+O10)&gt;Defaults!B$13,P10&gt;Defaults!B$12,(P10+Q10)&gt;Defaults!B$13)),1,20)</f>
        <v>20</v>
      </c>
      <c r="L10">
        <f t="shared" si="1"/>
        <v>40</v>
      </c>
      <c r="M10" t="b">
        <f t="shared" si="2"/>
        <v>1</v>
      </c>
      <c r="N10" s="13">
        <f t="shared" si="3"/>
        <v>0</v>
      </c>
      <c r="O10" s="13">
        <f>(D$68*L68)-E10</f>
        <v>1</v>
      </c>
      <c r="P10" s="13">
        <f t="shared" si="4"/>
        <v>216</v>
      </c>
      <c r="Q10" s="13">
        <f>(C$68*L68)-C10</f>
        <v>109</v>
      </c>
      <c r="R10" s="13">
        <f t="shared" si="5"/>
        <v>326</v>
      </c>
      <c r="S10" s="51">
        <f t="shared" si="6"/>
        <v>15209856</v>
      </c>
      <c r="T10" s="51">
        <f t="shared" si="7"/>
        <v>7722000</v>
      </c>
      <c r="U10" s="49">
        <f t="shared" si="8"/>
        <v>1.9696783216783216</v>
      </c>
    </row>
    <row r="11" spans="2:21" ht="18" customHeight="1" thickBot="1">
      <c r="B11" s="81" t="str">
        <f>'Data Entry'!A11</f>
        <v>6. Cases Petitioned (Charge Filed)</v>
      </c>
      <c r="C11" s="30">
        <f>'Data Entry'!C11</f>
        <v>84</v>
      </c>
      <c r="D11" s="80">
        <f>IF(((AND(C68&gt;0,C11&gt;0))),(C11/(C68)),0)</f>
        <v>25.846153846153847</v>
      </c>
      <c r="E11" s="30">
        <f>'Data Entry'!F11</f>
        <v>0</v>
      </c>
      <c r="F11" s="80">
        <f>IF(((AND($E$11&gt;0,$D$68&gt;0))),($E$11/($D$68)),0)</f>
        <v>0</v>
      </c>
      <c r="G11" s="96" t="str">
        <f t="shared" si="0"/>
        <v>**</v>
      </c>
      <c r="H11" s="94"/>
      <c r="I11" s="84"/>
      <c r="J11" s="75">
        <f>IF((ABS($U11)&gt;Defaults!D$7),1,2)</f>
        <v>2</v>
      </c>
      <c r="K11" s="29">
        <f>IF((AND(N11&gt;Defaults!B$12,(N11+O11)&gt;Defaults!B$13,P11&gt;Defaults!B$12,(P11+Q11)&gt;Defaults!B$13)),1,20)</f>
        <v>20</v>
      </c>
      <c r="L11">
        <f t="shared" si="1"/>
        <v>40</v>
      </c>
      <c r="M11" t="b">
        <f t="shared" si="2"/>
        <v>1</v>
      </c>
      <c r="N11" s="13">
        <f t="shared" si="3"/>
        <v>0</v>
      </c>
      <c r="O11" s="13">
        <f>(D$68*L68)-E11</f>
        <v>1</v>
      </c>
      <c r="P11" s="13">
        <f t="shared" si="4"/>
        <v>84</v>
      </c>
      <c r="Q11" s="13">
        <f>(C$68*L68)-C11</f>
        <v>241</v>
      </c>
      <c r="R11" s="13">
        <f t="shared" si="5"/>
        <v>326</v>
      </c>
      <c r="S11" s="51">
        <f t="shared" si="6"/>
        <v>2300256</v>
      </c>
      <c r="T11" s="51">
        <f t="shared" si="7"/>
        <v>6606600</v>
      </c>
      <c r="U11" s="49">
        <f t="shared" si="8"/>
        <v>0.34817546090273366</v>
      </c>
    </row>
    <row r="12" spans="2:21" ht="18" customHeight="1" thickBot="1">
      <c r="B12" s="81" t="str">
        <f>'Data Entry'!A12</f>
        <v>7. Cases Resulting in Delinquent Findings</v>
      </c>
      <c r="C12" s="30">
        <f>'Data Entry'!C12</f>
        <v>84</v>
      </c>
      <c r="D12" s="80">
        <f>IF(((AND(C69&gt;0,C12&gt;0))),(C12/(C69)),0)</f>
        <v>100</v>
      </c>
      <c r="E12" s="30">
        <f>'Data Entry'!F12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84</v>
      </c>
      <c r="Q12" s="13">
        <f>(C69*L69)-C12</f>
        <v>0</v>
      </c>
      <c r="R12" s="13">
        <f t="shared" si="5"/>
        <v>84</v>
      </c>
      <c r="S12" s="51">
        <f t="shared" si="6"/>
        <v>0</v>
      </c>
      <c r="T12" s="51">
        <f t="shared" si="7"/>
        <v>0</v>
      </c>
      <c r="U12" s="49" t="str">
        <f t="shared" si="8"/>
        <v>- -</v>
      </c>
    </row>
    <row r="13" spans="2:21" ht="18" customHeight="1" thickBot="1">
      <c r="B13" s="81" t="str">
        <f>'Data Entry'!A13</f>
        <v>8. Cases resulting in Probation Placement</v>
      </c>
      <c r="C13" s="30">
        <f>'Data Entry'!C13</f>
        <v>84</v>
      </c>
      <c r="D13" s="80">
        <f>IF(((AND(C70&gt;0,C13&gt;0))),(C13/(C70)),0)</f>
        <v>100</v>
      </c>
      <c r="E13" s="30">
        <f>'Data Entry'!F13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84</v>
      </c>
      <c r="Q13" s="13">
        <f>(C70*L70)-C13</f>
        <v>0</v>
      </c>
      <c r="R13" s="13">
        <f t="shared" si="5"/>
        <v>84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12</v>
      </c>
      <c r="D14" s="80">
        <f>IF(((AND(C70&gt;0,C14&gt;0))),((C14/(C70))),0)</f>
        <v>14.285714285714286</v>
      </c>
      <c r="E14" s="30">
        <f>'Data Entry'!F14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12</v>
      </c>
      <c r="Q14" s="13">
        <f>(C70*L70)-C14</f>
        <v>72</v>
      </c>
      <c r="R14" s="13">
        <f t="shared" si="5"/>
        <v>84</v>
      </c>
      <c r="S14" s="51">
        <f t="shared" si="6"/>
        <v>0</v>
      </c>
      <c r="T14" s="51">
        <f t="shared" si="7"/>
        <v>0</v>
      </c>
      <c r="U14" s="49" t="str">
        <f t="shared" si="8"/>
        <v>- -</v>
      </c>
    </row>
    <row r="15" spans="2:21" ht="14.25" thickBot="1">
      <c r="B15" s="81" t="str">
        <f>'Data Entry'!A15</f>
        <v>10. Cases Transferred to Adult Court </v>
      </c>
      <c r="C15" s="30">
        <f>'Data Entry'!C15</f>
        <v>1</v>
      </c>
      <c r="D15" s="80">
        <f>IF(((AND(C69&gt;0,C15&gt;0))),((C15/(C69))),0)</f>
        <v>1.1904761904761905</v>
      </c>
      <c r="E15" s="30">
        <f>'Data Entry'!F15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1</v>
      </c>
      <c r="Q15" s="13">
        <f>(C69*L69)-C15</f>
        <v>83</v>
      </c>
      <c r="R15" s="13">
        <f t="shared" si="5"/>
        <v>84</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15.248</v>
      </c>
      <c r="D42" s="38">
        <f>E6/1000</f>
        <v>0.251</v>
      </c>
      <c r="E42" s="38">
        <f>MAX(C42:D42)</f>
        <v>15.248</v>
      </c>
      <c r="G42" t="str">
        <f>B42</f>
        <v>per 1000 youth</v>
      </c>
      <c r="L42" s="18">
        <v>1000</v>
      </c>
      <c r="M42" s="18"/>
      <c r="R42" s="37"/>
    </row>
    <row r="43" spans="2:18" ht="13.5" hidden="1">
      <c r="B43" s="36" t="s">
        <v>41</v>
      </c>
      <c r="C43" s="38">
        <f>C7/100</f>
        <v>3.25</v>
      </c>
      <c r="D43" s="38">
        <f>E7/100</f>
        <v>0.01</v>
      </c>
      <c r="E43" s="38">
        <f>MAX(C43:D43,0)</f>
        <v>3.25</v>
      </c>
      <c r="G43" t="str">
        <f>B43</f>
        <v>per 100 arrests</v>
      </c>
      <c r="L43" s="18">
        <v>100</v>
      </c>
      <c r="M43" s="18"/>
      <c r="R43" s="37"/>
    </row>
    <row r="44" spans="2:18" ht="13.5" hidden="1">
      <c r="B44" s="36" t="s">
        <v>54</v>
      </c>
      <c r="C44" s="38">
        <f>C8/100</f>
        <v>3.25</v>
      </c>
      <c r="D44" s="38">
        <f>E8/100</f>
        <v>0.01</v>
      </c>
      <c r="E44" s="38">
        <f>MAX(C44:D44,0)</f>
        <v>3.25</v>
      </c>
      <c r="G44" t="str">
        <f>B44</f>
        <v>per 100 referrals</v>
      </c>
      <c r="L44" s="18">
        <v>100</v>
      </c>
      <c r="M44" s="18"/>
      <c r="R44" s="37"/>
    </row>
    <row r="45" spans="2:18" ht="13.5" hidden="1">
      <c r="B45" s="39" t="s">
        <v>43</v>
      </c>
      <c r="C45" s="37">
        <f>C11/100</f>
        <v>0.84</v>
      </c>
      <c r="D45" s="37">
        <f>E11/100</f>
        <v>0</v>
      </c>
      <c r="E45" s="38">
        <f>MAX(C45:D45,0)</f>
        <v>0.84</v>
      </c>
      <c r="G45" t="str">
        <f>B45</f>
        <v>per 100 youth petitioned</v>
      </c>
      <c r="L45" s="18">
        <v>100</v>
      </c>
      <c r="M45" s="18"/>
      <c r="R45" s="37"/>
    </row>
    <row r="46" spans="2:18" ht="13.5" hidden="1">
      <c r="B46" s="39" t="s">
        <v>44</v>
      </c>
      <c r="C46" s="37">
        <f>C12/100</f>
        <v>0.84</v>
      </c>
      <c r="D46" s="37">
        <f>E12/100</f>
        <v>0</v>
      </c>
      <c r="E46" s="38">
        <f>MAX(C46:D46)</f>
        <v>0.84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15.248</v>
      </c>
      <c r="D48" s="38">
        <f>D42</f>
        <v>0.251</v>
      </c>
      <c r="E48" s="38">
        <f>MAX(C48:D48)</f>
        <v>15.248</v>
      </c>
      <c r="G48" t="str">
        <f>G42</f>
        <v>per 1000 youth</v>
      </c>
      <c r="L48" s="76">
        <f>L42</f>
        <v>1000</v>
      </c>
      <c r="M48" s="76"/>
      <c r="N48" s="11"/>
      <c r="O48" s="11"/>
      <c r="P48" s="11"/>
      <c r="Q48" s="11"/>
      <c r="R48" s="11"/>
    </row>
    <row r="49" spans="2:18" ht="13.5" hidden="1">
      <c r="B49" s="36" t="str">
        <f aca="true" t="shared" si="9" ref="B49:D50">IF(($E43&gt;0),B43,B42)</f>
        <v>per 100 arrests</v>
      </c>
      <c r="C49" s="36">
        <f t="shared" si="9"/>
        <v>3.25</v>
      </c>
      <c r="D49" s="36">
        <f t="shared" si="9"/>
        <v>0.01</v>
      </c>
      <c r="E49" s="37">
        <f>MAX(C49:D49)</f>
        <v>3.25</v>
      </c>
      <c r="G49" t="str">
        <f>G43</f>
        <v>per 100 arrests</v>
      </c>
      <c r="L49" s="77">
        <f>IF(($E43&gt;0),L43,L42)</f>
        <v>100</v>
      </c>
      <c r="M49" s="77"/>
      <c r="N49" s="11"/>
      <c r="O49" s="11"/>
      <c r="P49" s="11"/>
      <c r="Q49" s="11"/>
      <c r="R49" s="11"/>
    </row>
    <row r="50" spans="2:18" ht="13.5" hidden="1">
      <c r="B50" s="36" t="str">
        <f t="shared" si="9"/>
        <v>per 100 referrals</v>
      </c>
      <c r="C50" s="36">
        <f t="shared" si="9"/>
        <v>3.25</v>
      </c>
      <c r="D50" s="36">
        <f t="shared" si="9"/>
        <v>0.01</v>
      </c>
      <c r="E50" s="37">
        <f>MAX(C50:D50)</f>
        <v>3.25</v>
      </c>
      <c r="G50" t="str">
        <f>G44</f>
        <v>per 100 referrals</v>
      </c>
      <c r="L50" s="77">
        <f>IF(($E44&gt;0),L44,L43)</f>
        <v>100</v>
      </c>
      <c r="M50" s="77"/>
      <c r="N50" s="11"/>
      <c r="O50" s="11"/>
      <c r="P50" s="11"/>
      <c r="Q50" s="11"/>
      <c r="R50" s="11"/>
    </row>
    <row r="51" spans="2:13" ht="13.5" hidden="1">
      <c r="B51" s="36" t="str">
        <f>IF(($E45&gt;0),B45,B43)</f>
        <v>per 100 youth petitioned</v>
      </c>
      <c r="C51" s="36">
        <f>IF(($E45&gt;0),C45,C44)</f>
        <v>0.84</v>
      </c>
      <c r="D51" s="36">
        <f>IF(($E45&gt;0),D45,D44)</f>
        <v>0</v>
      </c>
      <c r="E51" s="37">
        <f>MAX(C51:D51)</f>
        <v>0.84</v>
      </c>
      <c r="G51" t="str">
        <f>G45</f>
        <v>per 100 youth petitioned</v>
      </c>
      <c r="L51" s="77">
        <f>IF(($E45&gt;0),L45,L44)</f>
        <v>100</v>
      </c>
      <c r="M51" s="77"/>
    </row>
    <row r="52" spans="2:13" ht="13.5" hidden="1">
      <c r="B52" s="37" t="str">
        <f>IF(($E46&gt;0),B46,B45)</f>
        <v>per 100 youth found delinquent</v>
      </c>
      <c r="C52" s="37">
        <f>IF(($E46&gt;0),C46,C45)</f>
        <v>0.84</v>
      </c>
      <c r="D52" s="37">
        <f>IF(($E46&gt;0),D46,D45)</f>
        <v>0</v>
      </c>
      <c r="E52" s="38">
        <f>MAX(C52:D52)</f>
        <v>0.84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15.248</v>
      </c>
      <c r="D54" s="38">
        <f>D48</f>
        <v>0.251</v>
      </c>
      <c r="E54" s="38">
        <f>MAX(C54:D54)</f>
        <v>15.248</v>
      </c>
      <c r="G54" t="str">
        <f>G48</f>
        <v>per 1000 youth</v>
      </c>
      <c r="L54" s="76">
        <f>L48</f>
        <v>1000</v>
      </c>
      <c r="M54" s="76"/>
    </row>
    <row r="55" spans="2:13" ht="13.5" hidden="1">
      <c r="B55" s="36" t="str">
        <f aca="true" t="shared" si="10" ref="B55:D56">IF(($E49&gt;0),B49,B48)</f>
        <v>per 100 arrests</v>
      </c>
      <c r="C55" s="36">
        <f t="shared" si="10"/>
        <v>3.25</v>
      </c>
      <c r="D55" s="36">
        <f t="shared" si="10"/>
        <v>0.01</v>
      </c>
      <c r="E55" s="37">
        <f>MAX(C55:D55)</f>
        <v>3.25</v>
      </c>
      <c r="G55" t="str">
        <f>G49</f>
        <v>per 100 arrests</v>
      </c>
      <c r="L55" s="77">
        <f>IF(($E49&gt;0),L49,L48)</f>
        <v>100</v>
      </c>
      <c r="M55" s="77"/>
    </row>
    <row r="56" spans="2:13" ht="13.5" hidden="1">
      <c r="B56" s="36" t="str">
        <f t="shared" si="10"/>
        <v>per 100 referrals</v>
      </c>
      <c r="C56" s="36">
        <f t="shared" si="10"/>
        <v>3.25</v>
      </c>
      <c r="D56" s="36">
        <f t="shared" si="10"/>
        <v>0.01</v>
      </c>
      <c r="E56" s="37">
        <f>MAX(C56:D56)</f>
        <v>3.25</v>
      </c>
      <c r="G56" t="str">
        <f>G50</f>
        <v>per 100 referrals</v>
      </c>
      <c r="L56" s="77">
        <f>IF(($E50&gt;0),L50,L49)</f>
        <v>100</v>
      </c>
      <c r="M56" s="77"/>
    </row>
    <row r="57" spans="2:13" ht="13.5" hidden="1">
      <c r="B57" s="36" t="str">
        <f>IF(($E51&gt;0),B51,B49)</f>
        <v>per 100 youth petitioned</v>
      </c>
      <c r="C57" s="36">
        <f>IF(($E51&gt;0),C51,C50)</f>
        <v>0.84</v>
      </c>
      <c r="D57" s="36">
        <f>IF(($E51&gt;0),D51,D50)</f>
        <v>0</v>
      </c>
      <c r="E57" s="37">
        <f>MAX(C57:D57)</f>
        <v>0.84</v>
      </c>
      <c r="G57" t="str">
        <f>G51</f>
        <v>per 100 youth petitioned</v>
      </c>
      <c r="L57" s="77">
        <f>IF(($E51&gt;0),L51,L50)</f>
        <v>100</v>
      </c>
      <c r="M57" s="77"/>
    </row>
    <row r="58" spans="2:13" ht="13.5" hidden="1">
      <c r="B58" s="37" t="str">
        <f>IF(($E52&gt;0),B52,B51)</f>
        <v>per 100 youth found delinquent</v>
      </c>
      <c r="C58" s="37">
        <f>IF(($E52&gt;0),C52,C51)</f>
        <v>0.84</v>
      </c>
      <c r="D58" s="37">
        <f>IF(($E52&gt;0),D52,D51)</f>
        <v>0</v>
      </c>
      <c r="E58" s="38">
        <f>MAX(C58:D58)</f>
        <v>0.84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15.248</v>
      </c>
      <c r="D60" s="38">
        <f>D54</f>
        <v>0.251</v>
      </c>
      <c r="E60" s="38">
        <f>MAX(C60:D60)</f>
        <v>15.248</v>
      </c>
      <c r="G60" t="str">
        <f>G54</f>
        <v>per 1000 youth</v>
      </c>
      <c r="L60" s="76">
        <f>L54</f>
        <v>1000</v>
      </c>
      <c r="M60" s="76"/>
    </row>
    <row r="61" spans="2:13" ht="13.5" hidden="1">
      <c r="B61" s="36" t="str">
        <f aca="true" t="shared" si="11" ref="B61:D62">IF(($E55&gt;0),B55,B54)</f>
        <v>per 100 arrests</v>
      </c>
      <c r="C61" s="36">
        <f t="shared" si="11"/>
        <v>3.25</v>
      </c>
      <c r="D61" s="36">
        <f t="shared" si="11"/>
        <v>0.01</v>
      </c>
      <c r="E61" s="37">
        <f>MAX(C61:D61)</f>
        <v>3.25</v>
      </c>
      <c r="G61" t="str">
        <f>G55</f>
        <v>per 100 arrests</v>
      </c>
      <c r="L61" s="77">
        <f>IF(($E55&gt;0),L55,L54)</f>
        <v>100</v>
      </c>
      <c r="M61" s="77"/>
    </row>
    <row r="62" spans="2:13" ht="13.5" hidden="1">
      <c r="B62" s="36" t="str">
        <f t="shared" si="11"/>
        <v>per 100 referrals</v>
      </c>
      <c r="C62" s="36">
        <f t="shared" si="11"/>
        <v>3.25</v>
      </c>
      <c r="D62" s="36">
        <f t="shared" si="11"/>
        <v>0.01</v>
      </c>
      <c r="E62" s="37">
        <f>MAX(C62:D62)</f>
        <v>3.25</v>
      </c>
      <c r="G62" t="str">
        <f>G56</f>
        <v>per 100 referrals</v>
      </c>
      <c r="L62" s="77">
        <f>IF(($E56&gt;0),L56,L55)</f>
        <v>100</v>
      </c>
      <c r="M62" s="77"/>
    </row>
    <row r="63" spans="2:13" ht="13.5" hidden="1">
      <c r="B63" s="36" t="str">
        <f>IF(($E57&gt;0),B57,B55)</f>
        <v>per 100 youth petitioned</v>
      </c>
      <c r="C63" s="36">
        <f>IF(($E57&gt;0),C57,C56)</f>
        <v>0.84</v>
      </c>
      <c r="D63" s="36">
        <f>IF(($E57&gt;0),D57,D56)</f>
        <v>0</v>
      </c>
      <c r="E63" s="37">
        <f>MAX(C63:D63)</f>
        <v>0.84</v>
      </c>
      <c r="G63" t="str">
        <f>G57</f>
        <v>per 100 youth petitioned</v>
      </c>
      <c r="L63" s="77">
        <f>IF(($E57&gt;0),L57,L56)</f>
        <v>100</v>
      </c>
      <c r="M63" s="77"/>
    </row>
    <row r="64" spans="2:13" ht="13.5" hidden="1">
      <c r="B64" s="37" t="str">
        <f>IF(($E58&gt;0),B58,B57)</f>
        <v>per 100 youth found delinquent</v>
      </c>
      <c r="C64" s="37">
        <f>IF(($E58&gt;0),C58,C57)</f>
        <v>0.84</v>
      </c>
      <c r="D64" s="37">
        <f>IF(($E58&gt;0),D58,D57)</f>
        <v>0</v>
      </c>
      <c r="E64" s="38">
        <f>MAX(C64:D64)</f>
        <v>0.84</v>
      </c>
      <c r="G64" t="str">
        <f>G58</f>
        <v>per 100 youth found delinquent</v>
      </c>
      <c r="L64" s="76">
        <f>IF(($E58&gt;0),L58,L57)</f>
        <v>100</v>
      </c>
      <c r="M64" s="76"/>
    </row>
    <row r="65" spans="2:13" ht="13.5" hidden="1">
      <c r="B65" s="47" t="s">
        <v>57</v>
      </c>
      <c r="L65" s="18"/>
      <c r="M65" s="18"/>
    </row>
    <row r="66" spans="2:13" ht="13.5" hidden="1">
      <c r="B66" s="37" t="str">
        <f>B60</f>
        <v>per 1000 youth</v>
      </c>
      <c r="C66" s="38">
        <f>C60</f>
        <v>15.248</v>
      </c>
      <c r="D66" s="38">
        <f>D60</f>
        <v>0.251</v>
      </c>
      <c r="E66" s="38">
        <f>MAX(C66:D66)</f>
        <v>15.248</v>
      </c>
      <c r="G66" t="str">
        <f>G60</f>
        <v>per 1000 youth</v>
      </c>
      <c r="L66" s="76">
        <f>L60</f>
        <v>1000</v>
      </c>
      <c r="M66" s="76">
        <f>IF((B66=G66),1,2)</f>
        <v>1</v>
      </c>
    </row>
    <row r="67" spans="2:13" ht="13.5" hidden="1">
      <c r="B67" s="36" t="str">
        <f aca="true" t="shared" si="12" ref="B67:D68">IF(($E61&gt;0),B61,B60)</f>
        <v>per 100 arrests</v>
      </c>
      <c r="C67" s="36">
        <f t="shared" si="12"/>
        <v>3.25</v>
      </c>
      <c r="D67" s="36">
        <f t="shared" si="12"/>
        <v>0.01</v>
      </c>
      <c r="E67" s="37">
        <f>MAX(C67:D67)</f>
        <v>3.25</v>
      </c>
      <c r="G67" t="str">
        <f>G61</f>
        <v>per 100 arrests</v>
      </c>
      <c r="L67" s="77">
        <f>IF(($E61&gt;0),L61,L60)</f>
        <v>100</v>
      </c>
      <c r="M67" s="76">
        <f>IF((B67=G67),1,2)</f>
        <v>1</v>
      </c>
    </row>
    <row r="68" spans="2:13" ht="13.5" hidden="1">
      <c r="B68" s="36" t="str">
        <f t="shared" si="12"/>
        <v>per 100 referrals</v>
      </c>
      <c r="C68" s="36">
        <f t="shared" si="12"/>
        <v>3.25</v>
      </c>
      <c r="D68" s="36">
        <f t="shared" si="12"/>
        <v>0.01</v>
      </c>
      <c r="E68" s="37">
        <f>MAX(C68:D68)</f>
        <v>3.25</v>
      </c>
      <c r="G68" t="str">
        <f>G62</f>
        <v>per 100 referrals</v>
      </c>
      <c r="L68" s="77">
        <f>IF(($E62&gt;0),L62,L61)</f>
        <v>100</v>
      </c>
      <c r="M68" s="76">
        <f>IF((B68=G68),1,2)</f>
        <v>1</v>
      </c>
    </row>
    <row r="69" spans="2:13" ht="13.5" hidden="1">
      <c r="B69" s="36" t="str">
        <f>IF(($E63&gt;0),B63,B61)</f>
        <v>per 100 youth petitioned</v>
      </c>
      <c r="C69" s="36">
        <f>IF(($E63&gt;0),C63,C62)</f>
        <v>0.84</v>
      </c>
      <c r="D69" s="36">
        <f>IF(($E63&gt;0),D63,D62)</f>
        <v>0</v>
      </c>
      <c r="E69" s="37">
        <f>MAX(C69:D69)</f>
        <v>0.84</v>
      </c>
      <c r="G69" t="str">
        <f>G63</f>
        <v>per 100 youth petitioned</v>
      </c>
      <c r="L69" s="77">
        <f>IF(($E63&gt;0),L63,L62)</f>
        <v>100</v>
      </c>
      <c r="M69" s="76">
        <f>IF((B69=G69),1,2)</f>
        <v>1</v>
      </c>
    </row>
    <row r="70" spans="2:13" ht="13.5" hidden="1">
      <c r="B70" s="37" t="str">
        <f>IF(($E64&gt;0),B64,B63)</f>
        <v>per 100 youth found delinquent</v>
      </c>
      <c r="C70" s="37">
        <f>IF(($E64&gt;0),C64,C63)</f>
        <v>0.84</v>
      </c>
      <c r="D70" s="37">
        <f>IF(($E64&gt;0),D64,D63)</f>
        <v>0</v>
      </c>
      <c r="E70" s="38">
        <f>MAX(C70:D70)</f>
        <v>0.84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B86">
    <cfRule type="expression" priority="4" dxfId="93" stopIfTrue="1">
      <formula>$D$83=2</formula>
    </cfRule>
  </conditionalFormatting>
  <conditionalFormatting sqref="F28">
    <cfRule type="expression" priority="5" dxfId="93" stopIfTrue="1">
      <formula>M67=2</formula>
    </cfRule>
  </conditionalFormatting>
  <conditionalFormatting sqref="F27">
    <cfRule type="expression" priority="6" dxfId="96" stopIfTrue="1">
      <formula>M66=2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F35">
    <cfRule type="expression" priority="12" dxfId="93" stopIfTrue="1">
      <formula>M69=2</formula>
    </cfRule>
  </conditionalFormatting>
  <printOptions/>
  <pageMargins left="0.53" right="0.42" top="0.75" bottom="0.5" header="0" footer="0"/>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7" width="0" style="0" hidden="1" customWidth="1"/>
  </cols>
  <sheetData>
    <row r="1" spans="2:18" ht="27.75" customHeight="1">
      <c r="B1" s="1" t="s">
        <v>20</v>
      </c>
      <c r="D1" s="88" t="s">
        <v>74</v>
      </c>
      <c r="E1" s="25"/>
      <c r="F1" s="123" t="str">
        <f>'Data Entry'!G5</f>
        <v>Native Hawaiian or other Pacific Islanders</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Cascade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15248</v>
      </c>
      <c r="D6" s="79"/>
      <c r="E6" s="30">
        <f>'Data Entry'!G6</f>
        <v>0</v>
      </c>
      <c r="F6" s="79"/>
      <c r="G6" s="97"/>
      <c r="H6" s="93"/>
      <c r="I6" s="83"/>
      <c r="J6" s="78"/>
      <c r="K6" s="72"/>
      <c r="L6">
        <f>IF(('Data Entry'!G6&gt;('Data Entry'!B6/100)),1,100)</f>
        <v>100</v>
      </c>
      <c r="M6" t="s">
        <v>82</v>
      </c>
      <c r="N6" s="11"/>
      <c r="O6" s="11"/>
      <c r="P6" s="11"/>
      <c r="Q6" s="11"/>
      <c r="R6" s="11"/>
      <c r="S6" s="51"/>
      <c r="T6" s="51"/>
      <c r="U6" s="49"/>
    </row>
    <row r="7" spans="2:21" ht="18" customHeight="1" thickBot="1">
      <c r="B7" s="81" t="str">
        <f>'Data Entry'!A7</f>
        <v>2. Juvenile Arrests </v>
      </c>
      <c r="C7" s="30">
        <f>'Data Entry'!C7</f>
        <v>325</v>
      </c>
      <c r="D7" s="80">
        <f>IF((AND(C66&gt;0,C7&gt;0)),(C7/C66),0)</f>
        <v>21.31427072402938</v>
      </c>
      <c r="E7" s="30">
        <f>'Data Entry'!G7</f>
        <v>5</v>
      </c>
      <c r="F7" s="80">
        <f>IF((AND($E$7&gt;0,$D$66&gt;0)),($E$7/$D$66),0)</f>
        <v>0</v>
      </c>
      <c r="G7" s="96" t="str">
        <f aca="true" t="shared" si="0" ref="G7:G15">IF(L$6=100,"*",IF(M7=FALSE,"--",IF(K7=20,"**",($F7/$D7))))</f>
        <v>*</v>
      </c>
      <c r="H7" s="94"/>
      <c r="I7" s="84"/>
      <c r="J7" s="75" t="e">
        <f>IF((ABS($U7)&gt;Defaults!D$7),1,2)</f>
        <v>#DIV/0!</v>
      </c>
      <c r="K7" s="29">
        <f>IF((AND(N7&gt;Defaults!B$12,(N7+O7)&gt;Defaults!B$13,P7&gt;Defaults!B$12,(P7+Q7)&gt;Defaults!B$13)),1,20)</f>
        <v>20</v>
      </c>
      <c r="L7" t="e">
        <f aca="true" t="shared" si="1" ref="L7:L15">(J7*K7+L$6)-1</f>
        <v>#DIV/0!</v>
      </c>
      <c r="M7" t="b">
        <f aca="true" t="shared" si="2" ref="M7:M15">(ISNUMBER(J7))</f>
        <v>0</v>
      </c>
      <c r="N7" s="13">
        <f aca="true" t="shared" si="3" ref="N7:N15">E7</f>
        <v>5</v>
      </c>
      <c r="O7" s="13">
        <f>E6-E7</f>
        <v>-5</v>
      </c>
      <c r="P7" s="13">
        <f aca="true" t="shared" si="4" ref="P7:P15">C7</f>
        <v>325</v>
      </c>
      <c r="Q7" s="13">
        <f>C6-C7</f>
        <v>14923</v>
      </c>
      <c r="R7" s="13">
        <f aca="true" t="shared" si="5" ref="R7:R15">SUM(N7:Q7)</f>
        <v>15248</v>
      </c>
      <c r="S7" s="51">
        <f aca="true" t="shared" si="6" ref="S7:S15">R7*((((N7*Q7)-(O7*P7))^2))</f>
        <v>88629573324800</v>
      </c>
      <c r="T7" s="51">
        <f aca="true" t="shared" si="7" ref="T7:T15">(N7+O7)*(P7+Q7)*(N7+P7)*(O7+Q7)</f>
        <v>0</v>
      </c>
      <c r="U7" s="49" t="e">
        <f aca="true" t="shared" si="8" ref="U7:U15">IF((S7&gt;0),S7/T7,"- -")</f>
        <v>#DIV/0!</v>
      </c>
    </row>
    <row r="8" spans="2:21" ht="18" customHeight="1" thickBot="1">
      <c r="B8" s="81" t="str">
        <f>'Data Entry'!A8</f>
        <v>3. Refer to Juvenile Court</v>
      </c>
      <c r="C8" s="30">
        <f>'Data Entry'!C8</f>
        <v>325</v>
      </c>
      <c r="D8" s="80">
        <f>IF((AND(C67&gt;0,C8&gt;0)),(C8/C67),0)</f>
        <v>100</v>
      </c>
      <c r="E8" s="30">
        <f>'Data Entry'!G8</f>
        <v>5</v>
      </c>
      <c r="F8" s="80">
        <f>IF((AND($E$8&gt;0,$D$67&gt;0)),($E8/$D67),0)</f>
        <v>100</v>
      </c>
      <c r="G8" s="96" t="str">
        <f t="shared" si="0"/>
        <v>*</v>
      </c>
      <c r="H8" s="94"/>
      <c r="I8" s="84"/>
      <c r="J8" s="75">
        <f>IF((ABS($U8)&gt;Defaults!D$7),1,2)</f>
        <v>2</v>
      </c>
      <c r="K8" s="29">
        <f>IF((AND(N8&gt;Defaults!B$12,(N8+O8)&gt;Defaults!B$13,P8&gt;Defaults!B$12,(P8+Q8)&gt;Defaults!B$13)),1,20)</f>
        <v>20</v>
      </c>
      <c r="L8">
        <f t="shared" si="1"/>
        <v>139</v>
      </c>
      <c r="M8" t="b">
        <f t="shared" si="2"/>
        <v>1</v>
      </c>
      <c r="N8" s="13">
        <f t="shared" si="3"/>
        <v>5</v>
      </c>
      <c r="O8" s="13">
        <f>((D67*L67)-E8)+0.05</f>
        <v>0.05</v>
      </c>
      <c r="P8" s="13">
        <f t="shared" si="4"/>
        <v>325</v>
      </c>
      <c r="Q8" s="13">
        <f>(C$67*L67)-C8</f>
        <v>0</v>
      </c>
      <c r="R8" s="13">
        <f t="shared" si="5"/>
        <v>330.05</v>
      </c>
      <c r="S8" s="51">
        <f t="shared" si="6"/>
        <v>87153.828125</v>
      </c>
      <c r="T8" s="51">
        <f t="shared" si="7"/>
        <v>27080.625</v>
      </c>
      <c r="U8" s="49">
        <f t="shared" si="8"/>
        <v>3.2183093309330935</v>
      </c>
    </row>
    <row r="9" spans="2:21" ht="18" customHeight="1" thickBot="1">
      <c r="B9" s="81" t="str">
        <f>'Data Entry'!A9</f>
        <v>4. Cases Diverted </v>
      </c>
      <c r="C9" s="30">
        <f>'Data Entry'!C9</f>
        <v>212</v>
      </c>
      <c r="D9" s="80">
        <f>IF((AND(C68&gt;0,C9&gt;0)),((C9/C68)),0)</f>
        <v>65.23076923076923</v>
      </c>
      <c r="E9" s="30">
        <f>'Data Entry'!G9</f>
        <v>5</v>
      </c>
      <c r="F9" s="80">
        <f>IF((AND($E$9&gt;0,$D$68&gt;0)),(($E$9/$D$68)),0)</f>
        <v>100</v>
      </c>
      <c r="G9" s="96" t="str">
        <f t="shared" si="0"/>
        <v>*</v>
      </c>
      <c r="H9" s="94"/>
      <c r="I9" s="84"/>
      <c r="J9" s="75">
        <f>IF((ABS($U9)&gt;Defaults!D$7),1,2)</f>
        <v>2</v>
      </c>
      <c r="K9" s="29">
        <f>IF((AND(N9&gt;Defaults!B$12,(N9+O9)&gt;Defaults!B$13,P9&gt;Defaults!B$12,(P9+Q9)&gt;Defaults!B$13)),1,20)</f>
        <v>20</v>
      </c>
      <c r="L9">
        <f t="shared" si="1"/>
        <v>139</v>
      </c>
      <c r="M9" t="b">
        <f t="shared" si="2"/>
        <v>1</v>
      </c>
      <c r="N9" s="13">
        <f t="shared" si="3"/>
        <v>5</v>
      </c>
      <c r="O9" s="13">
        <f>(D$68*L68)-E9</f>
        <v>0</v>
      </c>
      <c r="P9" s="13">
        <f t="shared" si="4"/>
        <v>212</v>
      </c>
      <c r="Q9" s="13">
        <f>(C$68*L68)-C9</f>
        <v>113</v>
      </c>
      <c r="R9" s="13">
        <f t="shared" si="5"/>
        <v>330</v>
      </c>
      <c r="S9" s="51">
        <f t="shared" si="6"/>
        <v>105344250</v>
      </c>
      <c r="T9" s="51">
        <f t="shared" si="7"/>
        <v>39846625</v>
      </c>
      <c r="U9" s="49">
        <f t="shared" si="8"/>
        <v>2.643743353420773</v>
      </c>
    </row>
    <row r="10" spans="2:21" ht="18" customHeight="1" thickBot="1">
      <c r="B10" s="81" t="str">
        <f>'Data Entry'!A10</f>
        <v>5. Cases Involving Secure Detention</v>
      </c>
      <c r="C10" s="30">
        <f>'Data Entry'!C10</f>
        <v>216</v>
      </c>
      <c r="D10" s="80">
        <f>IF(((AND(C68&gt;0,C10&gt;0))),(C10/(C68)),0)</f>
        <v>66.46153846153847</v>
      </c>
      <c r="E10" s="30">
        <f>'Data Entry'!G10</f>
        <v>0</v>
      </c>
      <c r="F10" s="80">
        <f>IF(((AND($E$10&gt;0,$D$68&gt;0))),($E$10/($D$68)),0)</f>
        <v>0</v>
      </c>
      <c r="G10" s="96" t="str">
        <f t="shared" si="0"/>
        <v>*</v>
      </c>
      <c r="H10" s="94"/>
      <c r="I10" s="84"/>
      <c r="J10" s="75">
        <f>IF((ABS($U10)&gt;Defaults!D$7),1,2)</f>
        <v>1</v>
      </c>
      <c r="K10" s="29">
        <f>IF((AND(N10&gt;Defaults!B$12,(N10+O10)&gt;Defaults!B$13,P10&gt;Defaults!B$12,(P10+Q10)&gt;Defaults!B$13)),1,20)</f>
        <v>20</v>
      </c>
      <c r="L10">
        <f t="shared" si="1"/>
        <v>119</v>
      </c>
      <c r="M10" t="b">
        <f t="shared" si="2"/>
        <v>1</v>
      </c>
      <c r="N10" s="13">
        <f t="shared" si="3"/>
        <v>0</v>
      </c>
      <c r="O10" s="13">
        <f>(D$68*L68)-E10</f>
        <v>5</v>
      </c>
      <c r="P10" s="13">
        <f t="shared" si="4"/>
        <v>216</v>
      </c>
      <c r="Q10" s="13">
        <f>(C$68*L68)-C10</f>
        <v>109</v>
      </c>
      <c r="R10" s="13">
        <f t="shared" si="5"/>
        <v>330</v>
      </c>
      <c r="S10" s="51">
        <f t="shared" si="6"/>
        <v>384912000</v>
      </c>
      <c r="T10" s="51">
        <f t="shared" si="7"/>
        <v>40014000</v>
      </c>
      <c r="U10" s="49">
        <f t="shared" si="8"/>
        <v>9.619433198380566</v>
      </c>
    </row>
    <row r="11" spans="2:21" ht="18" customHeight="1" thickBot="1">
      <c r="B11" s="81" t="str">
        <f>'Data Entry'!A11</f>
        <v>6. Cases Petitioned (Charge Filed)</v>
      </c>
      <c r="C11" s="30">
        <f>'Data Entry'!C11</f>
        <v>84</v>
      </c>
      <c r="D11" s="80">
        <f>IF(((AND(C68&gt;0,C11&gt;0))),(C11/(C68)),0)</f>
        <v>25.846153846153847</v>
      </c>
      <c r="E11" s="30">
        <f>'Data Entry'!G11</f>
        <v>0</v>
      </c>
      <c r="F11" s="80">
        <f>IF(((AND($E$11&gt;0,$D$68&gt;0))),($E$11/($D$68)),0)</f>
        <v>0</v>
      </c>
      <c r="G11" s="96" t="str">
        <f t="shared" si="0"/>
        <v>*</v>
      </c>
      <c r="H11" s="94"/>
      <c r="I11" s="84"/>
      <c r="J11" s="75">
        <f>IF((ABS($U11)&gt;Defaults!D$7),1,2)</f>
        <v>2</v>
      </c>
      <c r="K11" s="29">
        <f>IF((AND(N11&gt;Defaults!B$12,(N11+O11)&gt;Defaults!B$13,P11&gt;Defaults!B$12,(P11+Q11)&gt;Defaults!B$13)),1,20)</f>
        <v>20</v>
      </c>
      <c r="L11">
        <f t="shared" si="1"/>
        <v>139</v>
      </c>
      <c r="M11" t="b">
        <f t="shared" si="2"/>
        <v>1</v>
      </c>
      <c r="N11" s="13">
        <f t="shared" si="3"/>
        <v>0</v>
      </c>
      <c r="O11" s="13">
        <f>(D$68*L68)-E11</f>
        <v>5</v>
      </c>
      <c r="P11" s="13">
        <f t="shared" si="4"/>
        <v>84</v>
      </c>
      <c r="Q11" s="13">
        <f>(C$68*L68)-C11</f>
        <v>241</v>
      </c>
      <c r="R11" s="13">
        <f t="shared" si="5"/>
        <v>330</v>
      </c>
      <c r="S11" s="51">
        <f t="shared" si="6"/>
        <v>58212000</v>
      </c>
      <c r="T11" s="51">
        <f t="shared" si="7"/>
        <v>33579000</v>
      </c>
      <c r="U11" s="49">
        <f t="shared" si="8"/>
        <v>1.7335834896810507</v>
      </c>
    </row>
    <row r="12" spans="2:21" ht="18" customHeight="1" thickBot="1">
      <c r="B12" s="81" t="str">
        <f>'Data Entry'!A12</f>
        <v>7. Cases Resulting in Delinquent Findings</v>
      </c>
      <c r="C12" s="30">
        <f>'Data Entry'!C12</f>
        <v>84</v>
      </c>
      <c r="D12" s="80">
        <f>IF(((AND(C69&gt;0,C12&gt;0))),(C12/(C69)),0)</f>
        <v>100</v>
      </c>
      <c r="E12" s="30">
        <f>'Data Entry'!G12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84</v>
      </c>
      <c r="Q12" s="13">
        <f>(C69*L69)-C12</f>
        <v>0</v>
      </c>
      <c r="R12" s="13">
        <f t="shared" si="5"/>
        <v>84</v>
      </c>
      <c r="S12" s="51">
        <f t="shared" si="6"/>
        <v>0</v>
      </c>
      <c r="T12" s="51">
        <f t="shared" si="7"/>
        <v>0</v>
      </c>
      <c r="U12" s="49" t="str">
        <f t="shared" si="8"/>
        <v>- -</v>
      </c>
    </row>
    <row r="13" spans="2:21" ht="18" customHeight="1" thickBot="1">
      <c r="B13" s="81" t="str">
        <f>'Data Entry'!A13</f>
        <v>8. Cases resulting in Probation Placement</v>
      </c>
      <c r="C13" s="30">
        <f>'Data Entry'!C13</f>
        <v>84</v>
      </c>
      <c r="D13" s="80">
        <f>IF(((AND(C70&gt;0,C13&gt;0))),(C13/(C70)),0)</f>
        <v>100</v>
      </c>
      <c r="E13" s="30">
        <f>'Data Entry'!G13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84</v>
      </c>
      <c r="Q13" s="13">
        <f>(C70*L70)-C13</f>
        <v>0</v>
      </c>
      <c r="R13" s="13">
        <f t="shared" si="5"/>
        <v>84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12</v>
      </c>
      <c r="D14" s="80">
        <f>IF(((AND(C70&gt;0,C14&gt;0))),((C14/(C70))),0)</f>
        <v>14.285714285714286</v>
      </c>
      <c r="E14" s="30">
        <f>'Data Entry'!G14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12</v>
      </c>
      <c r="Q14" s="13">
        <f>(C70*L70)-C14</f>
        <v>72</v>
      </c>
      <c r="R14" s="13">
        <f t="shared" si="5"/>
        <v>84</v>
      </c>
      <c r="S14" s="51">
        <f t="shared" si="6"/>
        <v>0</v>
      </c>
      <c r="T14" s="51">
        <f t="shared" si="7"/>
        <v>0</v>
      </c>
      <c r="U14" s="49" t="str">
        <f t="shared" si="8"/>
        <v>- -</v>
      </c>
    </row>
    <row r="15" spans="2:21" ht="14.25" thickBot="1">
      <c r="B15" s="81" t="str">
        <f>'Data Entry'!A15</f>
        <v>10. Cases Transferred to Adult Court </v>
      </c>
      <c r="C15" s="30">
        <f>'Data Entry'!C15</f>
        <v>1</v>
      </c>
      <c r="D15" s="80">
        <f>IF(((AND(C69&gt;0,C15&gt;0))),((C15/(C69))),0)</f>
        <v>1.1904761904761905</v>
      </c>
      <c r="E15" s="30">
        <f>'Data Entry'!G15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1</v>
      </c>
      <c r="Q15" s="13">
        <f>(C69*L69)-C15</f>
        <v>83</v>
      </c>
      <c r="R15" s="13">
        <f t="shared" si="5"/>
        <v>84</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15.248</v>
      </c>
      <c r="D42" s="38">
        <f>E6/1000</f>
        <v>0</v>
      </c>
      <c r="E42" s="38">
        <f>MAX(C42:D42)</f>
        <v>15.248</v>
      </c>
      <c r="G42" t="str">
        <f>B42</f>
        <v>per 1000 youth</v>
      </c>
      <c r="L42" s="18">
        <v>1000</v>
      </c>
      <c r="M42" s="18"/>
      <c r="R42" s="37"/>
    </row>
    <row r="43" spans="2:18" ht="13.5" hidden="1">
      <c r="B43" s="36" t="s">
        <v>41</v>
      </c>
      <c r="C43" s="38">
        <f>C7/100</f>
        <v>3.25</v>
      </c>
      <c r="D43" s="38">
        <f>E7/100</f>
        <v>0.05</v>
      </c>
      <c r="E43" s="38">
        <f>MAX(C43:D43,0)</f>
        <v>3.25</v>
      </c>
      <c r="G43" t="str">
        <f>B43</f>
        <v>per 100 arrests</v>
      </c>
      <c r="L43" s="18">
        <v>100</v>
      </c>
      <c r="M43" s="18"/>
      <c r="R43" s="37"/>
    </row>
    <row r="44" spans="2:18" ht="13.5" hidden="1">
      <c r="B44" s="36" t="s">
        <v>54</v>
      </c>
      <c r="C44" s="38">
        <f>C8/100</f>
        <v>3.25</v>
      </c>
      <c r="D44" s="38">
        <f>E8/100</f>
        <v>0.05</v>
      </c>
      <c r="E44" s="38">
        <f>MAX(C44:D44,0)</f>
        <v>3.25</v>
      </c>
      <c r="G44" t="str">
        <f>B44</f>
        <v>per 100 referrals</v>
      </c>
      <c r="L44" s="18">
        <v>100</v>
      </c>
      <c r="M44" s="18"/>
      <c r="R44" s="37"/>
    </row>
    <row r="45" spans="2:18" ht="13.5" hidden="1">
      <c r="B45" s="39" t="s">
        <v>43</v>
      </c>
      <c r="C45" s="37">
        <f>C11/100</f>
        <v>0.84</v>
      </c>
      <c r="D45" s="37">
        <f>E11/100</f>
        <v>0</v>
      </c>
      <c r="E45" s="38">
        <f>MAX(C45:D45,0)</f>
        <v>0.84</v>
      </c>
      <c r="G45" t="str">
        <f>B45</f>
        <v>per 100 youth petitioned</v>
      </c>
      <c r="L45" s="18">
        <v>100</v>
      </c>
      <c r="M45" s="18"/>
      <c r="R45" s="37"/>
    </row>
    <row r="46" spans="2:18" ht="13.5" hidden="1">
      <c r="B46" s="39" t="s">
        <v>44</v>
      </c>
      <c r="C46" s="37">
        <f>C12/100</f>
        <v>0.84</v>
      </c>
      <c r="D46" s="37">
        <f>E12/100</f>
        <v>0</v>
      </c>
      <c r="E46" s="38">
        <f>MAX(C46:D46)</f>
        <v>0.84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15.248</v>
      </c>
      <c r="D48" s="38">
        <f>D42</f>
        <v>0</v>
      </c>
      <c r="E48" s="38">
        <f>MAX(C48:D48)</f>
        <v>15.248</v>
      </c>
      <c r="G48" t="str">
        <f>G42</f>
        <v>per 1000 youth</v>
      </c>
      <c r="L48" s="76">
        <f>L42</f>
        <v>1000</v>
      </c>
      <c r="M48" s="76"/>
      <c r="N48" s="11"/>
      <c r="O48" s="11"/>
      <c r="P48" s="11"/>
      <c r="Q48" s="11"/>
      <c r="R48" s="11"/>
    </row>
    <row r="49" spans="2:18" ht="13.5" hidden="1">
      <c r="B49" s="36" t="str">
        <f aca="true" t="shared" si="9" ref="B49:D50">IF(($E43&gt;0),B43,B42)</f>
        <v>per 100 arrests</v>
      </c>
      <c r="C49" s="36">
        <f t="shared" si="9"/>
        <v>3.25</v>
      </c>
      <c r="D49" s="36">
        <f t="shared" si="9"/>
        <v>0.05</v>
      </c>
      <c r="E49" s="37">
        <f>MAX(C49:D49)</f>
        <v>3.25</v>
      </c>
      <c r="G49" t="str">
        <f>G43</f>
        <v>per 100 arrests</v>
      </c>
      <c r="L49" s="77">
        <f>IF(($E43&gt;0),L43,L42)</f>
        <v>100</v>
      </c>
      <c r="M49" s="77"/>
      <c r="N49" s="11"/>
      <c r="O49" s="11"/>
      <c r="P49" s="11"/>
      <c r="Q49" s="11"/>
      <c r="R49" s="11"/>
    </row>
    <row r="50" spans="2:18" ht="13.5" hidden="1">
      <c r="B50" s="36" t="str">
        <f t="shared" si="9"/>
        <v>per 100 referrals</v>
      </c>
      <c r="C50" s="36">
        <f t="shared" si="9"/>
        <v>3.25</v>
      </c>
      <c r="D50" s="36">
        <f t="shared" si="9"/>
        <v>0.05</v>
      </c>
      <c r="E50" s="37">
        <f>MAX(C50:D50)</f>
        <v>3.25</v>
      </c>
      <c r="G50" t="str">
        <f>G44</f>
        <v>per 100 referrals</v>
      </c>
      <c r="L50" s="77">
        <f>IF(($E44&gt;0),L44,L43)</f>
        <v>100</v>
      </c>
      <c r="M50" s="77"/>
      <c r="N50" s="11"/>
      <c r="O50" s="11"/>
      <c r="P50" s="11"/>
      <c r="Q50" s="11"/>
      <c r="R50" s="11"/>
    </row>
    <row r="51" spans="2:13" ht="13.5" hidden="1">
      <c r="B51" s="36" t="str">
        <f>IF(($E45&gt;0),B45,B43)</f>
        <v>per 100 youth petitioned</v>
      </c>
      <c r="C51" s="36">
        <f>IF(($E45&gt;0),C45,C44)</f>
        <v>0.84</v>
      </c>
      <c r="D51" s="36">
        <f>IF(($E45&gt;0),D45,D44)</f>
        <v>0</v>
      </c>
      <c r="E51" s="37">
        <f>MAX(C51:D51)</f>
        <v>0.84</v>
      </c>
      <c r="G51" t="str">
        <f>G45</f>
        <v>per 100 youth petitioned</v>
      </c>
      <c r="L51" s="77">
        <f>IF(($E45&gt;0),L45,L44)</f>
        <v>100</v>
      </c>
      <c r="M51" s="77"/>
    </row>
    <row r="52" spans="2:13" ht="13.5" hidden="1">
      <c r="B52" s="37" t="str">
        <f>IF(($E46&gt;0),B46,B45)</f>
        <v>per 100 youth found delinquent</v>
      </c>
      <c r="C52" s="37">
        <f>IF(($E46&gt;0),C46,C45)</f>
        <v>0.84</v>
      </c>
      <c r="D52" s="37">
        <f>IF(($E46&gt;0),D46,D45)</f>
        <v>0</v>
      </c>
      <c r="E52" s="38">
        <f>MAX(C52:D52)</f>
        <v>0.84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15.248</v>
      </c>
      <c r="D54" s="38">
        <f>D48</f>
        <v>0</v>
      </c>
      <c r="E54" s="38">
        <f>MAX(C54:D54)</f>
        <v>15.248</v>
      </c>
      <c r="G54" t="str">
        <f>G48</f>
        <v>per 1000 youth</v>
      </c>
      <c r="L54" s="76">
        <f>L48</f>
        <v>1000</v>
      </c>
      <c r="M54" s="76"/>
    </row>
    <row r="55" spans="2:13" ht="13.5" hidden="1">
      <c r="B55" s="36" t="str">
        <f aca="true" t="shared" si="10" ref="B55:D56">IF(($E49&gt;0),B49,B48)</f>
        <v>per 100 arrests</v>
      </c>
      <c r="C55" s="36">
        <f t="shared" si="10"/>
        <v>3.25</v>
      </c>
      <c r="D55" s="36">
        <f t="shared" si="10"/>
        <v>0.05</v>
      </c>
      <c r="E55" s="37">
        <f>MAX(C55:D55)</f>
        <v>3.25</v>
      </c>
      <c r="G55" t="str">
        <f>G49</f>
        <v>per 100 arrests</v>
      </c>
      <c r="L55" s="77">
        <f>IF(($E49&gt;0),L49,L48)</f>
        <v>100</v>
      </c>
      <c r="M55" s="77"/>
    </row>
    <row r="56" spans="2:13" ht="13.5" hidden="1">
      <c r="B56" s="36" t="str">
        <f t="shared" si="10"/>
        <v>per 100 referrals</v>
      </c>
      <c r="C56" s="36">
        <f t="shared" si="10"/>
        <v>3.25</v>
      </c>
      <c r="D56" s="36">
        <f t="shared" si="10"/>
        <v>0.05</v>
      </c>
      <c r="E56" s="37">
        <f>MAX(C56:D56)</f>
        <v>3.25</v>
      </c>
      <c r="G56" t="str">
        <f>G50</f>
        <v>per 100 referrals</v>
      </c>
      <c r="L56" s="77">
        <f>IF(($E50&gt;0),L50,L49)</f>
        <v>100</v>
      </c>
      <c r="M56" s="77"/>
    </row>
    <row r="57" spans="2:13" ht="13.5" hidden="1">
      <c r="B57" s="36" t="str">
        <f>IF(($E51&gt;0),B51,B49)</f>
        <v>per 100 youth petitioned</v>
      </c>
      <c r="C57" s="36">
        <f>IF(($E51&gt;0),C51,C50)</f>
        <v>0.84</v>
      </c>
      <c r="D57" s="36">
        <f>IF(($E51&gt;0),D51,D50)</f>
        <v>0</v>
      </c>
      <c r="E57" s="37">
        <f>MAX(C57:D57)</f>
        <v>0.84</v>
      </c>
      <c r="G57" t="str">
        <f>G51</f>
        <v>per 100 youth petitioned</v>
      </c>
      <c r="L57" s="77">
        <f>IF(($E51&gt;0),L51,L50)</f>
        <v>100</v>
      </c>
      <c r="M57" s="77"/>
    </row>
    <row r="58" spans="2:13" ht="13.5" hidden="1">
      <c r="B58" s="37" t="str">
        <f>IF(($E52&gt;0),B52,B51)</f>
        <v>per 100 youth found delinquent</v>
      </c>
      <c r="C58" s="37">
        <f>IF(($E52&gt;0),C52,C51)</f>
        <v>0.84</v>
      </c>
      <c r="D58" s="37">
        <f>IF(($E52&gt;0),D52,D51)</f>
        <v>0</v>
      </c>
      <c r="E58" s="38">
        <f>MAX(C58:D58)</f>
        <v>0.84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15.248</v>
      </c>
      <c r="D60" s="38">
        <f>D54</f>
        <v>0</v>
      </c>
      <c r="E60" s="38">
        <f>MAX(C60:D60)</f>
        <v>15.248</v>
      </c>
      <c r="G60" t="str">
        <f>G54</f>
        <v>per 1000 youth</v>
      </c>
      <c r="L60" s="76">
        <f>L54</f>
        <v>1000</v>
      </c>
      <c r="M60" s="76"/>
    </row>
    <row r="61" spans="2:13" ht="13.5" hidden="1">
      <c r="B61" s="36" t="str">
        <f aca="true" t="shared" si="11" ref="B61:D62">IF(($E55&gt;0),B55,B54)</f>
        <v>per 100 arrests</v>
      </c>
      <c r="C61" s="36">
        <f t="shared" si="11"/>
        <v>3.25</v>
      </c>
      <c r="D61" s="36">
        <f t="shared" si="11"/>
        <v>0.05</v>
      </c>
      <c r="E61" s="37">
        <f>MAX(C61:D61)</f>
        <v>3.25</v>
      </c>
      <c r="G61" t="str">
        <f>G55</f>
        <v>per 100 arrests</v>
      </c>
      <c r="L61" s="77">
        <f>IF(($E55&gt;0),L55,L54)</f>
        <v>100</v>
      </c>
      <c r="M61" s="77"/>
    </row>
    <row r="62" spans="2:13" ht="13.5" hidden="1">
      <c r="B62" s="36" t="str">
        <f t="shared" si="11"/>
        <v>per 100 referrals</v>
      </c>
      <c r="C62" s="36">
        <f t="shared" si="11"/>
        <v>3.25</v>
      </c>
      <c r="D62" s="36">
        <f t="shared" si="11"/>
        <v>0.05</v>
      </c>
      <c r="E62" s="37">
        <f>MAX(C62:D62)</f>
        <v>3.25</v>
      </c>
      <c r="G62" t="str">
        <f>G56</f>
        <v>per 100 referrals</v>
      </c>
      <c r="L62" s="77">
        <f>IF(($E56&gt;0),L56,L55)</f>
        <v>100</v>
      </c>
      <c r="M62" s="77"/>
    </row>
    <row r="63" spans="2:13" ht="13.5" hidden="1">
      <c r="B63" s="36" t="str">
        <f>IF(($E57&gt;0),B57,B55)</f>
        <v>per 100 youth petitioned</v>
      </c>
      <c r="C63" s="36">
        <f>IF(($E57&gt;0),C57,C56)</f>
        <v>0.84</v>
      </c>
      <c r="D63" s="36">
        <f>IF(($E57&gt;0),D57,D56)</f>
        <v>0</v>
      </c>
      <c r="E63" s="37">
        <f>MAX(C63:D63)</f>
        <v>0.84</v>
      </c>
      <c r="G63" t="str">
        <f>G57</f>
        <v>per 100 youth petitioned</v>
      </c>
      <c r="L63" s="77">
        <f>IF(($E57&gt;0),L57,L56)</f>
        <v>100</v>
      </c>
      <c r="M63" s="77"/>
    </row>
    <row r="64" spans="2:13" ht="13.5" hidden="1">
      <c r="B64" s="37" t="str">
        <f>IF(($E58&gt;0),B58,B57)</f>
        <v>per 100 youth found delinquent</v>
      </c>
      <c r="C64" s="37">
        <f>IF(($E58&gt;0),C58,C57)</f>
        <v>0.84</v>
      </c>
      <c r="D64" s="37">
        <f>IF(($E58&gt;0),D58,D57)</f>
        <v>0</v>
      </c>
      <c r="E64" s="38">
        <f>MAX(C64:D64)</f>
        <v>0.84</v>
      </c>
      <c r="G64" t="str">
        <f>G58</f>
        <v>per 100 youth found delinquent</v>
      </c>
      <c r="L64" s="76">
        <f>IF(($E58&gt;0),L58,L57)</f>
        <v>100</v>
      </c>
      <c r="M64" s="76"/>
    </row>
    <row r="65" spans="2:13" ht="13.5" hidden="1">
      <c r="B65" s="47" t="s">
        <v>57</v>
      </c>
      <c r="L65" s="18"/>
      <c r="M65" s="18"/>
    </row>
    <row r="66" spans="2:13" ht="13.5" hidden="1">
      <c r="B66" s="37" t="str">
        <f>B60</f>
        <v>per 1000 youth</v>
      </c>
      <c r="C66" s="38">
        <f>C60</f>
        <v>15.248</v>
      </c>
      <c r="D66" s="38">
        <f>D60</f>
        <v>0</v>
      </c>
      <c r="E66" s="38">
        <f>MAX(C66:D66)</f>
        <v>15.248</v>
      </c>
      <c r="G66" t="str">
        <f>G60</f>
        <v>per 1000 youth</v>
      </c>
      <c r="L66" s="76">
        <f>L60</f>
        <v>1000</v>
      </c>
      <c r="M66" s="76">
        <f>IF((B66=G66),1,2)</f>
        <v>1</v>
      </c>
    </row>
    <row r="67" spans="2:13" ht="13.5" hidden="1">
      <c r="B67" s="36" t="str">
        <f aca="true" t="shared" si="12" ref="B67:D68">IF(($E61&gt;0),B61,B60)</f>
        <v>per 100 arrests</v>
      </c>
      <c r="C67" s="36">
        <f t="shared" si="12"/>
        <v>3.25</v>
      </c>
      <c r="D67" s="36">
        <f t="shared" si="12"/>
        <v>0.05</v>
      </c>
      <c r="E67" s="37">
        <f>MAX(C67:D67)</f>
        <v>3.25</v>
      </c>
      <c r="G67" t="str">
        <f>G61</f>
        <v>per 100 arrests</v>
      </c>
      <c r="L67" s="77">
        <f>IF(($E61&gt;0),L61,L60)</f>
        <v>100</v>
      </c>
      <c r="M67" s="76">
        <f>IF((B67=G67),1,2)</f>
        <v>1</v>
      </c>
    </row>
    <row r="68" spans="2:13" ht="13.5" hidden="1">
      <c r="B68" s="36" t="str">
        <f t="shared" si="12"/>
        <v>per 100 referrals</v>
      </c>
      <c r="C68" s="36">
        <f t="shared" si="12"/>
        <v>3.25</v>
      </c>
      <c r="D68" s="36">
        <f t="shared" si="12"/>
        <v>0.05</v>
      </c>
      <c r="E68" s="37">
        <f>MAX(C68:D68)</f>
        <v>3.25</v>
      </c>
      <c r="G68" t="str">
        <f>G62</f>
        <v>per 100 referrals</v>
      </c>
      <c r="L68" s="77">
        <f>IF(($E62&gt;0),L62,L61)</f>
        <v>100</v>
      </c>
      <c r="M68" s="76">
        <f>IF((B68=G68),1,2)</f>
        <v>1</v>
      </c>
    </row>
    <row r="69" spans="2:13" ht="13.5" hidden="1">
      <c r="B69" s="36" t="str">
        <f>IF(($E63&gt;0),B63,B61)</f>
        <v>per 100 youth petitioned</v>
      </c>
      <c r="C69" s="36">
        <f>IF(($E63&gt;0),C63,C62)</f>
        <v>0.84</v>
      </c>
      <c r="D69" s="36">
        <f>IF(($E63&gt;0),D63,D62)</f>
        <v>0</v>
      </c>
      <c r="E69" s="37">
        <f>MAX(C69:D69)</f>
        <v>0.84</v>
      </c>
      <c r="G69" t="str">
        <f>G63</f>
        <v>per 100 youth petitioned</v>
      </c>
      <c r="L69" s="77">
        <f>IF(($E63&gt;0),L63,L62)</f>
        <v>100</v>
      </c>
      <c r="M69" s="76">
        <f>IF((B69=G69),1,2)</f>
        <v>1</v>
      </c>
    </row>
    <row r="70" spans="2:13" ht="13.5" hidden="1">
      <c r="B70" s="37" t="str">
        <f>IF(($E64&gt;0),B64,B63)</f>
        <v>per 100 youth found delinquent</v>
      </c>
      <c r="C70" s="37">
        <f>IF(($E64&gt;0),C64,C63)</f>
        <v>0.84</v>
      </c>
      <c r="D70" s="37">
        <f>IF(($E64&gt;0),D64,D63)</f>
        <v>0</v>
      </c>
      <c r="E70" s="38">
        <f>MAX(C70:D70)</f>
        <v>0.84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G7:G15">
    <cfRule type="expression" priority="1" dxfId="93" stopIfTrue="1">
      <formula>$L7=1</formula>
    </cfRule>
    <cfRule type="expression" priority="2" dxfId="94" stopIfTrue="1">
      <formula>$L7=2</formula>
    </cfRule>
    <cfRule type="expression" priority="3" dxfId="95" stopIfTrue="1">
      <formula>$L7&gt;3</formula>
    </cfRule>
  </conditionalFormatting>
  <conditionalFormatting sqref="F27">
    <cfRule type="expression" priority="4" dxfId="96" stopIfTrue="1">
      <formula>M66=2</formula>
    </cfRule>
  </conditionalFormatting>
  <conditionalFormatting sqref="F28">
    <cfRule type="expression" priority="5" dxfId="93" stopIfTrue="1">
      <formula>M67=2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Entry'!H5</f>
        <v>American Indian or Alaska Native</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Cascade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15248</v>
      </c>
      <c r="D6" s="79"/>
      <c r="E6" s="30">
        <f>'Data Entry'!H6</f>
        <v>1228</v>
      </c>
      <c r="F6" s="79"/>
      <c r="G6" s="97"/>
      <c r="H6" s="93"/>
      <c r="I6" s="83"/>
      <c r="J6" s="78"/>
      <c r="K6" s="72"/>
      <c r="L6">
        <f>IF(('Data Entry'!H6&gt;('Data Entry'!B6/100)),1,100)</f>
        <v>1</v>
      </c>
      <c r="M6" t="s">
        <v>82</v>
      </c>
      <c r="N6" s="11"/>
      <c r="O6" s="11"/>
      <c r="P6" s="11"/>
      <c r="Q6" s="11"/>
      <c r="R6" s="11"/>
      <c r="S6" s="51"/>
      <c r="T6" s="51"/>
      <c r="U6" s="49"/>
    </row>
    <row r="7" spans="2:21" ht="18" customHeight="1" thickBot="1">
      <c r="B7" s="81" t="str">
        <f>'Data Entry'!A7</f>
        <v>2. Juvenile Arrests </v>
      </c>
      <c r="C7" s="30">
        <f>'Data Entry'!C7</f>
        <v>325</v>
      </c>
      <c r="D7" s="80">
        <f>IF((AND(C66&gt;0,C7&gt;0)),(C7/C66),0)</f>
        <v>21.31427072402938</v>
      </c>
      <c r="E7" s="30">
        <f>'Data Entry'!H7</f>
        <v>200</v>
      </c>
      <c r="F7" s="80">
        <f>IF((AND($E$7&gt;0,$D$66&gt;0)),($E$7/$D$66),0)</f>
        <v>162.86644951140065</v>
      </c>
      <c r="G7" s="96">
        <f aca="true" t="shared" si="0" ref="G7:G15">IF(L$6=100,"*",IF(M7=FALSE,"--",IF(K7=20,"**",($F7/$D7))))</f>
        <v>7.64119268353796</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200</v>
      </c>
      <c r="O7" s="13">
        <f>E6-E7</f>
        <v>1028</v>
      </c>
      <c r="P7" s="13">
        <f aca="true" t="shared" si="4" ref="P7:P15">C7</f>
        <v>325</v>
      </c>
      <c r="Q7" s="13">
        <f>C6-C7</f>
        <v>14923</v>
      </c>
      <c r="R7" s="13">
        <f aca="true" t="shared" si="5" ref="R7:R15">SUM(N7:Q7)</f>
        <v>16476</v>
      </c>
      <c r="S7" s="51">
        <f aca="true" t="shared" si="6" ref="S7:S15">R7*((((N7*Q7)-(O7*P7))^2))</f>
        <v>1.15746375519E+17</v>
      </c>
      <c r="T7" s="51">
        <f aca="true" t="shared" si="7" ref="T7:T15">(N7+O7)*(P7+Q7)*(N7+P7)*(O7+Q7)</f>
        <v>156804480705600</v>
      </c>
      <c r="U7" s="49">
        <f aca="true" t="shared" si="8" ref="U7:U15">IF((S7&gt;0),S7/T7,"- -")</f>
        <v>738.1573217688435</v>
      </c>
    </row>
    <row r="8" spans="2:21" ht="18" customHeight="1" thickBot="1">
      <c r="B8" s="81" t="str">
        <f>'Data Entry'!A8</f>
        <v>3. Refer to Juvenile Court</v>
      </c>
      <c r="C8" s="30">
        <f>'Data Entry'!C8</f>
        <v>325</v>
      </c>
      <c r="D8" s="80">
        <f>IF((AND(C67&gt;0,C8&gt;0)),(C8/C67),0)</f>
        <v>100</v>
      </c>
      <c r="E8" s="30">
        <f>'Data Entry'!H8</f>
        <v>200</v>
      </c>
      <c r="F8" s="80">
        <f>IF((AND($E$8&gt;0,$D$67&gt;0)),($E8/$D67),0)</f>
        <v>100</v>
      </c>
      <c r="G8" s="96">
        <f t="shared" si="0"/>
        <v>1</v>
      </c>
      <c r="H8" s="94"/>
      <c r="I8" s="84"/>
      <c r="J8" s="75">
        <f>IF((ABS($U8)&gt;Defaults!D$7),1,2)</f>
        <v>2</v>
      </c>
      <c r="K8" s="29">
        <f>IF((AND(N8&gt;Defaults!B$12,(N8+O8)&gt;Defaults!B$13,P8&gt;Defaults!B$12,(P8+Q8)&gt;Defaults!B$13)),1,20)</f>
        <v>1</v>
      </c>
      <c r="L8">
        <f t="shared" si="1"/>
        <v>2</v>
      </c>
      <c r="M8" t="b">
        <f t="shared" si="2"/>
        <v>1</v>
      </c>
      <c r="N8" s="13">
        <f t="shared" si="3"/>
        <v>200</v>
      </c>
      <c r="O8" s="13">
        <f>((D67*L67)-E8)+0.05</f>
        <v>0.05</v>
      </c>
      <c r="P8" s="13">
        <f t="shared" si="4"/>
        <v>325</v>
      </c>
      <c r="Q8" s="13">
        <f>(C$67*L67)-C8</f>
        <v>0</v>
      </c>
      <c r="R8" s="13">
        <f t="shared" si="5"/>
        <v>525.05</v>
      </c>
      <c r="S8" s="51">
        <f t="shared" si="6"/>
        <v>138646.015625</v>
      </c>
      <c r="T8" s="51">
        <f t="shared" si="7"/>
        <v>1706676.5625000005</v>
      </c>
      <c r="U8" s="49">
        <f t="shared" si="8"/>
        <v>0.08123742873805356</v>
      </c>
    </row>
    <row r="9" spans="2:21" ht="18" customHeight="1" thickBot="1">
      <c r="B9" s="81" t="str">
        <f>'Data Entry'!A9</f>
        <v>4. Cases Diverted </v>
      </c>
      <c r="C9" s="30">
        <f>'Data Entry'!C9</f>
        <v>212</v>
      </c>
      <c r="D9" s="80">
        <f>IF((AND(C68&gt;0,C9&gt;0)),((C9/C68)),0)</f>
        <v>65.23076923076923</v>
      </c>
      <c r="E9" s="30">
        <f>'Data Entry'!H9</f>
        <v>103</v>
      </c>
      <c r="F9" s="80">
        <f>IF((AND($E$9&gt;0,$D$68&gt;0)),(($E$9/$D$68)),0)</f>
        <v>51.5</v>
      </c>
      <c r="G9" s="96">
        <f t="shared" si="0"/>
        <v>0.7895047169811321</v>
      </c>
      <c r="H9" s="94"/>
      <c r="I9" s="84"/>
      <c r="J9" s="75">
        <f>IF((ABS($U9)&gt;Defaults!D$7),1,2)</f>
        <v>1</v>
      </c>
      <c r="K9" s="29">
        <f>IF((AND(N9&gt;Defaults!B$12,(N9+O9)&gt;Defaults!B$13,P9&gt;Defaults!B$12,(P9+Q9)&gt;Defaults!B$13)),1,20)</f>
        <v>1</v>
      </c>
      <c r="L9">
        <f t="shared" si="1"/>
        <v>1</v>
      </c>
      <c r="M9" t="b">
        <f t="shared" si="2"/>
        <v>1</v>
      </c>
      <c r="N9" s="13">
        <f t="shared" si="3"/>
        <v>103</v>
      </c>
      <c r="O9" s="13">
        <f>(D$68*L68)-E9</f>
        <v>97</v>
      </c>
      <c r="P9" s="13">
        <f t="shared" si="4"/>
        <v>212</v>
      </c>
      <c r="Q9" s="13">
        <f>(C$68*L68)-C9</f>
        <v>113</v>
      </c>
      <c r="R9" s="13">
        <f t="shared" si="5"/>
        <v>525</v>
      </c>
      <c r="S9" s="51">
        <f t="shared" si="6"/>
        <v>41819203125</v>
      </c>
      <c r="T9" s="51">
        <f t="shared" si="7"/>
        <v>4299750000</v>
      </c>
      <c r="U9" s="49">
        <f t="shared" si="8"/>
        <v>9.725961538461538</v>
      </c>
    </row>
    <row r="10" spans="2:21" ht="18" customHeight="1" thickBot="1">
      <c r="B10" s="81" t="str">
        <f>'Data Entry'!A10</f>
        <v>5. Cases Involving Secure Detention</v>
      </c>
      <c r="C10" s="30">
        <f>'Data Entry'!C10</f>
        <v>216</v>
      </c>
      <c r="D10" s="80">
        <f>IF(((AND(C68&gt;0,C10&gt;0))),(C10/(C68)),0)</f>
        <v>66.46153846153847</v>
      </c>
      <c r="E10" s="30">
        <f>'Data Entry'!H10</f>
        <v>154</v>
      </c>
      <c r="F10" s="80">
        <f>IF(((AND($E$10&gt;0,$D$68&gt;0))),($E$10/($D$68)),0)</f>
        <v>77</v>
      </c>
      <c r="G10" s="96">
        <f t="shared" si="0"/>
        <v>1.1585648148148147</v>
      </c>
      <c r="H10" s="94"/>
      <c r="I10" s="84"/>
      <c r="J10" s="75">
        <f>IF((ABS($U10)&gt;Defaults!D$7),1,2)</f>
        <v>1</v>
      </c>
      <c r="K10" s="29">
        <f>IF((AND(N10&gt;Defaults!B$12,(N10+O10)&gt;Defaults!B$13,P10&gt;Defaults!B$12,(P10+Q10)&gt;Defaults!B$13)),1,20)</f>
        <v>1</v>
      </c>
      <c r="L10">
        <f t="shared" si="1"/>
        <v>1</v>
      </c>
      <c r="M10" t="b">
        <f t="shared" si="2"/>
        <v>1</v>
      </c>
      <c r="N10" s="13">
        <f t="shared" si="3"/>
        <v>154</v>
      </c>
      <c r="O10" s="13">
        <f>(D$68*L68)-E10</f>
        <v>46</v>
      </c>
      <c r="P10" s="13">
        <f t="shared" si="4"/>
        <v>216</v>
      </c>
      <c r="Q10" s="13">
        <f>(C$68*L68)-C10</f>
        <v>109</v>
      </c>
      <c r="R10" s="13">
        <f t="shared" si="5"/>
        <v>525</v>
      </c>
      <c r="S10" s="51">
        <f t="shared" si="6"/>
        <v>24634312500</v>
      </c>
      <c r="T10" s="51">
        <f t="shared" si="7"/>
        <v>3727750000</v>
      </c>
      <c r="U10" s="49">
        <f t="shared" si="8"/>
        <v>6.608359600295084</v>
      </c>
    </row>
    <row r="11" spans="2:21" ht="18" customHeight="1" thickBot="1">
      <c r="B11" s="81" t="str">
        <f>'Data Entry'!A11</f>
        <v>6. Cases Petitioned (Charge Filed)</v>
      </c>
      <c r="C11" s="30">
        <f>'Data Entry'!C11</f>
        <v>84</v>
      </c>
      <c r="D11" s="80">
        <f>IF(((AND(C68&gt;0,C11&gt;0))),(C11/(C68)),0)</f>
        <v>25.846153846153847</v>
      </c>
      <c r="E11" s="30">
        <f>'Data Entry'!H11</f>
        <v>57</v>
      </c>
      <c r="F11" s="80">
        <f>IF(((AND($E$11&gt;0,$D$68&gt;0))),($E$11/($D$68)),0)</f>
        <v>28.5</v>
      </c>
      <c r="G11" s="96">
        <f t="shared" si="0"/>
        <v>1.1026785714285714</v>
      </c>
      <c r="H11" s="94"/>
      <c r="I11" s="84"/>
      <c r="J11" s="75">
        <f>IF((ABS($U11)&gt;Defaults!D$7),1,2)</f>
        <v>2</v>
      </c>
      <c r="K11" s="29">
        <f>IF((AND(N11&gt;Defaults!B$12,(N11+O11)&gt;Defaults!B$13,P11&gt;Defaults!B$12,(P11+Q11)&gt;Defaults!B$13)),1,20)</f>
        <v>1</v>
      </c>
      <c r="L11">
        <f t="shared" si="1"/>
        <v>2</v>
      </c>
      <c r="M11" t="b">
        <f t="shared" si="2"/>
        <v>1</v>
      </c>
      <c r="N11" s="13">
        <f t="shared" si="3"/>
        <v>57</v>
      </c>
      <c r="O11" s="13">
        <f>(D$68*L68)-E11</f>
        <v>143</v>
      </c>
      <c r="P11" s="13">
        <f t="shared" si="4"/>
        <v>84</v>
      </c>
      <c r="Q11" s="13">
        <f>(C$68*L68)-C11</f>
        <v>241</v>
      </c>
      <c r="R11" s="13">
        <f t="shared" si="5"/>
        <v>525</v>
      </c>
      <c r="S11" s="51">
        <f t="shared" si="6"/>
        <v>1562203125</v>
      </c>
      <c r="T11" s="51">
        <f t="shared" si="7"/>
        <v>3519360000</v>
      </c>
      <c r="U11" s="49">
        <f t="shared" si="8"/>
        <v>0.44388841295008186</v>
      </c>
    </row>
    <row r="12" spans="2:21" ht="18" customHeight="1" thickBot="1">
      <c r="B12" s="81" t="str">
        <f>'Data Entry'!A12</f>
        <v>7. Cases Resulting in Delinquent Findings</v>
      </c>
      <c r="C12" s="30">
        <f>'Data Entry'!C12</f>
        <v>84</v>
      </c>
      <c r="D12" s="80">
        <f>IF(((AND(C69&gt;0,C12&gt;0))),(C12/(C69)),0)</f>
        <v>100</v>
      </c>
      <c r="E12" s="30">
        <f>'Data Entry'!H12</f>
        <v>57</v>
      </c>
      <c r="F12" s="80">
        <f>IF(((AND($D$69&gt;0,$E$12&gt;0))),(E12/(D69)),0)</f>
        <v>100.00000000000001</v>
      </c>
      <c r="G12" s="96" t="str">
        <f t="shared" si="0"/>
        <v>--</v>
      </c>
      <c r="H12" s="94"/>
      <c r="I12" s="84"/>
      <c r="J12" s="75" t="e">
        <f>IF((ABS($U12)&gt;Defaults!D$7),1,2)</f>
        <v>#VALUE!</v>
      </c>
      <c r="K12" s="29">
        <f>IF((AND(N12&gt;Defaults!B$12,(N12+O12)&gt;Defaults!B$13,P12&gt;Defaults!B$12,(P12+Q12)&gt;Defaults!B$13)),1,20)</f>
        <v>1</v>
      </c>
      <c r="L12" t="e">
        <f t="shared" si="1"/>
        <v>#VALUE!</v>
      </c>
      <c r="M12" t="b">
        <f t="shared" si="2"/>
        <v>0</v>
      </c>
      <c r="N12" s="13">
        <f t="shared" si="3"/>
        <v>57</v>
      </c>
      <c r="O12" s="13">
        <f>(D69*L69)-E12</f>
        <v>0</v>
      </c>
      <c r="P12" s="13">
        <f t="shared" si="4"/>
        <v>84</v>
      </c>
      <c r="Q12" s="13">
        <f>(C69*L69)-C12</f>
        <v>0</v>
      </c>
      <c r="R12" s="13">
        <f t="shared" si="5"/>
        <v>141</v>
      </c>
      <c r="S12" s="51">
        <f t="shared" si="6"/>
        <v>0</v>
      </c>
      <c r="T12" s="51">
        <f t="shared" si="7"/>
        <v>0</v>
      </c>
      <c r="U12" s="49" t="str">
        <f t="shared" si="8"/>
        <v>- -</v>
      </c>
    </row>
    <row r="13" spans="2:21" ht="18" customHeight="1" thickBot="1">
      <c r="B13" s="81" t="str">
        <f>'Data Entry'!A13</f>
        <v>8. Cases resulting in Probation Placement</v>
      </c>
      <c r="C13" s="30">
        <f>'Data Entry'!C13</f>
        <v>84</v>
      </c>
      <c r="D13" s="80">
        <f>IF(((AND(C70&gt;0,C13&gt;0))),(C13/(C70)),0)</f>
        <v>100</v>
      </c>
      <c r="E13" s="30">
        <f>'Data Entry'!H13</f>
        <v>57</v>
      </c>
      <c r="F13" s="80">
        <f>IF(((AND($D$70&gt;0,$E$13&gt;0))),($E$13/($D$70)),0)</f>
        <v>100.00000000000001</v>
      </c>
      <c r="G13" s="96" t="str">
        <f t="shared" si="0"/>
        <v>--</v>
      </c>
      <c r="H13" s="94"/>
      <c r="I13" s="84"/>
      <c r="J13" s="75" t="e">
        <f>IF((ABS($U13)&gt;Defaults!D$7),1,2)</f>
        <v>#VALUE!</v>
      </c>
      <c r="K13" s="29">
        <f>IF((AND(N13&gt;Defaults!B$12,(N13+O13)&gt;Defaults!B$13,P13&gt;Defaults!B$12,(P13+Q13)&gt;Defaults!B$13)),1,20)</f>
        <v>1</v>
      </c>
      <c r="L13" t="e">
        <f t="shared" si="1"/>
        <v>#VALUE!</v>
      </c>
      <c r="M13" t="b">
        <f t="shared" si="2"/>
        <v>0</v>
      </c>
      <c r="N13" s="13">
        <f t="shared" si="3"/>
        <v>57</v>
      </c>
      <c r="O13" s="13">
        <f>(D70*L70)-E13</f>
        <v>0</v>
      </c>
      <c r="P13" s="13">
        <f t="shared" si="4"/>
        <v>84</v>
      </c>
      <c r="Q13" s="13">
        <f>(C70*L70)-C13</f>
        <v>0</v>
      </c>
      <c r="R13" s="13">
        <f t="shared" si="5"/>
        <v>141</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12</v>
      </c>
      <c r="D14" s="80">
        <f>IF(((AND(C70&gt;0,C14&gt;0))),((C14/(C70))),0)</f>
        <v>14.285714285714286</v>
      </c>
      <c r="E14" s="30">
        <f>'Data Entry'!H14</f>
        <v>6</v>
      </c>
      <c r="F14" s="80">
        <f>IF(((AND($D$70&gt;0,$E$14&gt;0))),(($E$14/($D$70))),0)</f>
        <v>10.526315789473685</v>
      </c>
      <c r="G14" s="96">
        <f t="shared" si="0"/>
        <v>0.7368421052631579</v>
      </c>
      <c r="H14" s="94"/>
      <c r="I14" s="84"/>
      <c r="J14" s="75">
        <f>IF((ABS($U14)&gt;Defaults!D$7),1,2)</f>
        <v>2</v>
      </c>
      <c r="K14" s="29">
        <f>IF((AND(N14&gt;Defaults!B$12,(N14+O14)&gt;Defaults!B$13,P14&gt;Defaults!B$12,(P14+Q14)&gt;Defaults!B$13)),1,20)</f>
        <v>1</v>
      </c>
      <c r="L14">
        <f t="shared" si="1"/>
        <v>2</v>
      </c>
      <c r="M14" t="b">
        <f t="shared" si="2"/>
        <v>1</v>
      </c>
      <c r="N14" s="13">
        <f t="shared" si="3"/>
        <v>6</v>
      </c>
      <c r="O14" s="13">
        <f>(D70*L70)-E14</f>
        <v>50.99999999999999</v>
      </c>
      <c r="P14" s="13">
        <f t="shared" si="4"/>
        <v>12</v>
      </c>
      <c r="Q14" s="13">
        <f>(C70*L70)-C14</f>
        <v>72</v>
      </c>
      <c r="R14" s="13">
        <f t="shared" si="5"/>
        <v>141</v>
      </c>
      <c r="S14" s="51">
        <f t="shared" si="6"/>
        <v>4568399.999999994</v>
      </c>
      <c r="T14" s="51">
        <f t="shared" si="7"/>
        <v>10600631.999999998</v>
      </c>
      <c r="U14" s="49">
        <f t="shared" si="8"/>
        <v>0.43095543737392217</v>
      </c>
    </row>
    <row r="15" spans="2:21" ht="14.25" thickBot="1">
      <c r="B15" s="81" t="str">
        <f>'Data Entry'!A15</f>
        <v>10. Cases Transferred to Adult Court </v>
      </c>
      <c r="C15" s="30">
        <f>'Data Entry'!C15</f>
        <v>1</v>
      </c>
      <c r="D15" s="80">
        <f>IF(((AND(C69&gt;0,C15&gt;0))),((C15/(C69))),0)</f>
        <v>1.1904761904761905</v>
      </c>
      <c r="E15" s="30">
        <f>'Data Entry'!H15</f>
        <v>3</v>
      </c>
      <c r="F15" s="80">
        <f>IF(((AND($D$69&gt;0,$E$15&gt;0))),(($E$15/($D$69))),0)</f>
        <v>5.2631578947368425</v>
      </c>
      <c r="G15" s="96" t="str">
        <f t="shared" si="0"/>
        <v>**</v>
      </c>
      <c r="H15" s="94"/>
      <c r="I15" s="84"/>
      <c r="J15" s="75">
        <f>IF((ABS($U15)&gt;Defaults!D$7),1,2)</f>
        <v>2</v>
      </c>
      <c r="K15" s="29">
        <f>IF((AND(N15&gt;Defaults!B$12,(N15+O15)&gt;Defaults!B$13,P15&gt;Defaults!B$12,(P15+Q15)&gt;Defaults!B$13)),1,20)</f>
        <v>20</v>
      </c>
      <c r="L15">
        <f t="shared" si="1"/>
        <v>40</v>
      </c>
      <c r="M15" t="b">
        <f t="shared" si="2"/>
        <v>1</v>
      </c>
      <c r="N15" s="13">
        <f t="shared" si="3"/>
        <v>3</v>
      </c>
      <c r="O15" s="13">
        <f>(D69*L69)-E15</f>
        <v>53.99999999999999</v>
      </c>
      <c r="P15" s="13">
        <f t="shared" si="4"/>
        <v>1</v>
      </c>
      <c r="Q15" s="13">
        <f>(C69*L69)-C15</f>
        <v>83</v>
      </c>
      <c r="R15" s="13">
        <f t="shared" si="5"/>
        <v>141</v>
      </c>
      <c r="S15" s="51">
        <f t="shared" si="6"/>
        <v>5361525</v>
      </c>
      <c r="T15" s="51">
        <f t="shared" si="7"/>
        <v>2623823.9999999995</v>
      </c>
      <c r="U15" s="49">
        <f t="shared" si="8"/>
        <v>2.043401158004501</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15.248</v>
      </c>
      <c r="D42" s="38">
        <f>E6/1000</f>
        <v>1.228</v>
      </c>
      <c r="E42" s="38">
        <f>MAX(C42:D42)</f>
        <v>15.248</v>
      </c>
      <c r="G42" t="str">
        <f>B42</f>
        <v>per 1000 youth</v>
      </c>
      <c r="L42" s="18">
        <v>1000</v>
      </c>
      <c r="M42" s="18"/>
      <c r="R42" s="37"/>
    </row>
    <row r="43" spans="2:18" ht="13.5" hidden="1">
      <c r="B43" s="36" t="s">
        <v>41</v>
      </c>
      <c r="C43" s="38">
        <f>C7/100</f>
        <v>3.25</v>
      </c>
      <c r="D43" s="38">
        <f>E7/100</f>
        <v>2</v>
      </c>
      <c r="E43" s="38">
        <f>MAX(C43:D43,0)</f>
        <v>3.25</v>
      </c>
      <c r="G43" t="str">
        <f>B43</f>
        <v>per 100 arrests</v>
      </c>
      <c r="L43" s="18">
        <v>100</v>
      </c>
      <c r="M43" s="18"/>
      <c r="R43" s="37"/>
    </row>
    <row r="44" spans="2:18" ht="13.5" hidden="1">
      <c r="B44" s="36" t="s">
        <v>54</v>
      </c>
      <c r="C44" s="38">
        <f>C8/100</f>
        <v>3.25</v>
      </c>
      <c r="D44" s="38">
        <f>E8/100</f>
        <v>2</v>
      </c>
      <c r="E44" s="38">
        <f>MAX(C44:D44,0)</f>
        <v>3.25</v>
      </c>
      <c r="G44" t="str">
        <f>B44</f>
        <v>per 100 referrals</v>
      </c>
      <c r="L44" s="18">
        <v>100</v>
      </c>
      <c r="M44" s="18"/>
      <c r="R44" s="37"/>
    </row>
    <row r="45" spans="2:18" ht="13.5" hidden="1">
      <c r="B45" s="39" t="s">
        <v>43</v>
      </c>
      <c r="C45" s="37">
        <f>C11/100</f>
        <v>0.84</v>
      </c>
      <c r="D45" s="37">
        <f>E11/100</f>
        <v>0.57</v>
      </c>
      <c r="E45" s="38">
        <f>MAX(C45:D45,0)</f>
        <v>0.84</v>
      </c>
      <c r="G45" t="str">
        <f>B45</f>
        <v>per 100 youth petitioned</v>
      </c>
      <c r="L45" s="18">
        <v>100</v>
      </c>
      <c r="M45" s="18"/>
      <c r="R45" s="37"/>
    </row>
    <row r="46" spans="2:18" ht="13.5" hidden="1">
      <c r="B46" s="39" t="s">
        <v>44</v>
      </c>
      <c r="C46" s="37">
        <f>C12/100</f>
        <v>0.84</v>
      </c>
      <c r="D46" s="37">
        <f>E12/100</f>
        <v>0.57</v>
      </c>
      <c r="E46" s="38">
        <f>MAX(C46:D46)</f>
        <v>0.84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15.248</v>
      </c>
      <c r="D48" s="38">
        <f>D42</f>
        <v>1.228</v>
      </c>
      <c r="E48" s="38">
        <f>MAX(C48:D48)</f>
        <v>15.248</v>
      </c>
      <c r="G48" t="str">
        <f>G42</f>
        <v>per 1000 youth</v>
      </c>
      <c r="L48" s="76">
        <f>L42</f>
        <v>1000</v>
      </c>
      <c r="M48" s="76"/>
      <c r="N48" s="11"/>
      <c r="O48" s="11"/>
      <c r="P48" s="11"/>
      <c r="Q48" s="11"/>
      <c r="R48" s="11"/>
    </row>
    <row r="49" spans="2:18" ht="13.5" hidden="1">
      <c r="B49" s="36" t="str">
        <f aca="true" t="shared" si="9" ref="B49:D50">IF(($E43&gt;0),B43,B42)</f>
        <v>per 100 arrests</v>
      </c>
      <c r="C49" s="36">
        <f t="shared" si="9"/>
        <v>3.25</v>
      </c>
      <c r="D49" s="36">
        <f t="shared" si="9"/>
        <v>2</v>
      </c>
      <c r="E49" s="37">
        <f>MAX(C49:D49)</f>
        <v>3.25</v>
      </c>
      <c r="G49" t="str">
        <f>G43</f>
        <v>per 100 arrests</v>
      </c>
      <c r="L49" s="77">
        <f>IF(($E43&gt;0),L43,L42)</f>
        <v>100</v>
      </c>
      <c r="M49" s="77"/>
      <c r="N49" s="11"/>
      <c r="O49" s="11"/>
      <c r="P49" s="11"/>
      <c r="Q49" s="11"/>
      <c r="R49" s="11"/>
    </row>
    <row r="50" spans="2:18" ht="13.5" hidden="1">
      <c r="B50" s="36" t="str">
        <f t="shared" si="9"/>
        <v>per 100 referrals</v>
      </c>
      <c r="C50" s="36">
        <f t="shared" si="9"/>
        <v>3.25</v>
      </c>
      <c r="D50" s="36">
        <f t="shared" si="9"/>
        <v>2</v>
      </c>
      <c r="E50" s="37">
        <f>MAX(C50:D50)</f>
        <v>3.25</v>
      </c>
      <c r="G50" t="str">
        <f>G44</f>
        <v>per 100 referrals</v>
      </c>
      <c r="L50" s="77">
        <f>IF(($E44&gt;0),L44,L43)</f>
        <v>100</v>
      </c>
      <c r="M50" s="77"/>
      <c r="N50" s="11"/>
      <c r="O50" s="11"/>
      <c r="P50" s="11"/>
      <c r="Q50" s="11"/>
      <c r="R50" s="11"/>
    </row>
    <row r="51" spans="2:13" ht="13.5" hidden="1">
      <c r="B51" s="36" t="str">
        <f>IF(($E45&gt;0),B45,B43)</f>
        <v>per 100 youth petitioned</v>
      </c>
      <c r="C51" s="36">
        <f>IF(($E45&gt;0),C45,C44)</f>
        <v>0.84</v>
      </c>
      <c r="D51" s="36">
        <f>IF(($E45&gt;0),D45,D44)</f>
        <v>0.57</v>
      </c>
      <c r="E51" s="37">
        <f>MAX(C51:D51)</f>
        <v>0.84</v>
      </c>
      <c r="G51" t="str">
        <f>G45</f>
        <v>per 100 youth petitioned</v>
      </c>
      <c r="L51" s="77">
        <f>IF(($E45&gt;0),L45,L44)</f>
        <v>100</v>
      </c>
      <c r="M51" s="77"/>
    </row>
    <row r="52" spans="2:13" ht="13.5" hidden="1">
      <c r="B52" s="37" t="str">
        <f>IF(($E46&gt;0),B46,B45)</f>
        <v>per 100 youth found delinquent</v>
      </c>
      <c r="C52" s="37">
        <f>IF(($E46&gt;0),C46,C45)</f>
        <v>0.84</v>
      </c>
      <c r="D52" s="37">
        <f>IF(($E46&gt;0),D46,D45)</f>
        <v>0.57</v>
      </c>
      <c r="E52" s="38">
        <f>MAX(C52:D52)</f>
        <v>0.84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15.248</v>
      </c>
      <c r="D54" s="38">
        <f>D48</f>
        <v>1.228</v>
      </c>
      <c r="E54" s="38">
        <f>MAX(C54:D54)</f>
        <v>15.248</v>
      </c>
      <c r="G54" t="str">
        <f>G48</f>
        <v>per 1000 youth</v>
      </c>
      <c r="L54" s="76">
        <f>L48</f>
        <v>1000</v>
      </c>
      <c r="M54" s="76"/>
    </row>
    <row r="55" spans="2:13" ht="13.5" hidden="1">
      <c r="B55" s="36" t="str">
        <f aca="true" t="shared" si="10" ref="B55:D56">IF(($E49&gt;0),B49,B48)</f>
        <v>per 100 arrests</v>
      </c>
      <c r="C55" s="36">
        <f t="shared" si="10"/>
        <v>3.25</v>
      </c>
      <c r="D55" s="36">
        <f t="shared" si="10"/>
        <v>2</v>
      </c>
      <c r="E55" s="37">
        <f>MAX(C55:D55)</f>
        <v>3.25</v>
      </c>
      <c r="G55" t="str">
        <f>G49</f>
        <v>per 100 arrests</v>
      </c>
      <c r="L55" s="77">
        <f>IF(($E49&gt;0),L49,L48)</f>
        <v>100</v>
      </c>
      <c r="M55" s="77"/>
    </row>
    <row r="56" spans="2:13" ht="13.5" hidden="1">
      <c r="B56" s="36" t="str">
        <f t="shared" si="10"/>
        <v>per 100 referrals</v>
      </c>
      <c r="C56" s="36">
        <f t="shared" si="10"/>
        <v>3.25</v>
      </c>
      <c r="D56" s="36">
        <f t="shared" si="10"/>
        <v>2</v>
      </c>
      <c r="E56" s="37">
        <f>MAX(C56:D56)</f>
        <v>3.25</v>
      </c>
      <c r="G56" t="str">
        <f>G50</f>
        <v>per 100 referrals</v>
      </c>
      <c r="L56" s="77">
        <f>IF(($E50&gt;0),L50,L49)</f>
        <v>100</v>
      </c>
      <c r="M56" s="77"/>
    </row>
    <row r="57" spans="2:13" ht="13.5" hidden="1">
      <c r="B57" s="36" t="str">
        <f>IF(($E51&gt;0),B51,B49)</f>
        <v>per 100 youth petitioned</v>
      </c>
      <c r="C57" s="36">
        <f>IF(($E51&gt;0),C51,C50)</f>
        <v>0.84</v>
      </c>
      <c r="D57" s="36">
        <f>IF(($E51&gt;0),D51,D50)</f>
        <v>0.57</v>
      </c>
      <c r="E57" s="37">
        <f>MAX(C57:D57)</f>
        <v>0.84</v>
      </c>
      <c r="G57" t="str">
        <f>G51</f>
        <v>per 100 youth petitioned</v>
      </c>
      <c r="L57" s="77">
        <f>IF(($E51&gt;0),L51,L50)</f>
        <v>100</v>
      </c>
      <c r="M57" s="77"/>
    </row>
    <row r="58" spans="2:13" ht="13.5" hidden="1">
      <c r="B58" s="37" t="str">
        <f>IF(($E52&gt;0),B52,B51)</f>
        <v>per 100 youth found delinquent</v>
      </c>
      <c r="C58" s="37">
        <f>IF(($E52&gt;0),C52,C51)</f>
        <v>0.84</v>
      </c>
      <c r="D58" s="37">
        <f>IF(($E52&gt;0),D52,D51)</f>
        <v>0.57</v>
      </c>
      <c r="E58" s="38">
        <f>MAX(C58:D58)</f>
        <v>0.84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15.248</v>
      </c>
      <c r="D60" s="38">
        <f>D54</f>
        <v>1.228</v>
      </c>
      <c r="E60" s="38">
        <f>MAX(C60:D60)</f>
        <v>15.248</v>
      </c>
      <c r="G60" t="str">
        <f>G54</f>
        <v>per 1000 youth</v>
      </c>
      <c r="L60" s="76">
        <f>L54</f>
        <v>1000</v>
      </c>
      <c r="M60" s="76"/>
    </row>
    <row r="61" spans="2:13" ht="13.5" hidden="1">
      <c r="B61" s="36" t="str">
        <f aca="true" t="shared" si="11" ref="B61:D62">IF(($E55&gt;0),B55,B54)</f>
        <v>per 100 arrests</v>
      </c>
      <c r="C61" s="36">
        <f t="shared" si="11"/>
        <v>3.25</v>
      </c>
      <c r="D61" s="36">
        <f t="shared" si="11"/>
        <v>2</v>
      </c>
      <c r="E61" s="37">
        <f>MAX(C61:D61)</f>
        <v>3.25</v>
      </c>
      <c r="G61" t="str">
        <f>G55</f>
        <v>per 100 arrests</v>
      </c>
      <c r="L61" s="77">
        <f>IF(($E55&gt;0),L55,L54)</f>
        <v>100</v>
      </c>
      <c r="M61" s="77"/>
    </row>
    <row r="62" spans="2:13" ht="13.5" hidden="1">
      <c r="B62" s="36" t="str">
        <f t="shared" si="11"/>
        <v>per 100 referrals</v>
      </c>
      <c r="C62" s="36">
        <f t="shared" si="11"/>
        <v>3.25</v>
      </c>
      <c r="D62" s="36">
        <f t="shared" si="11"/>
        <v>2</v>
      </c>
      <c r="E62" s="37">
        <f>MAX(C62:D62)</f>
        <v>3.25</v>
      </c>
      <c r="G62" t="str">
        <f>G56</f>
        <v>per 100 referrals</v>
      </c>
      <c r="L62" s="77">
        <f>IF(($E56&gt;0),L56,L55)</f>
        <v>100</v>
      </c>
      <c r="M62" s="77"/>
    </row>
    <row r="63" spans="2:13" ht="13.5" hidden="1">
      <c r="B63" s="36" t="str">
        <f>IF(($E57&gt;0),B57,B55)</f>
        <v>per 100 youth petitioned</v>
      </c>
      <c r="C63" s="36">
        <f>IF(($E57&gt;0),C57,C56)</f>
        <v>0.84</v>
      </c>
      <c r="D63" s="36">
        <f>IF(($E57&gt;0),D57,D56)</f>
        <v>0.57</v>
      </c>
      <c r="E63" s="37">
        <f>MAX(C63:D63)</f>
        <v>0.84</v>
      </c>
      <c r="G63" t="str">
        <f>G57</f>
        <v>per 100 youth petitioned</v>
      </c>
      <c r="L63" s="77">
        <f>IF(($E57&gt;0),L57,L56)</f>
        <v>100</v>
      </c>
      <c r="M63" s="77"/>
    </row>
    <row r="64" spans="2:13" ht="13.5" hidden="1">
      <c r="B64" s="37" t="str">
        <f>IF(($E58&gt;0),B58,B57)</f>
        <v>per 100 youth found delinquent</v>
      </c>
      <c r="C64" s="37">
        <f>IF(($E58&gt;0),C58,C57)</f>
        <v>0.84</v>
      </c>
      <c r="D64" s="37">
        <f>IF(($E58&gt;0),D58,D57)</f>
        <v>0.57</v>
      </c>
      <c r="E64" s="38">
        <f>MAX(C64:D64)</f>
        <v>0.84</v>
      </c>
      <c r="G64" t="str">
        <f>G58</f>
        <v>per 100 youth found delinquent</v>
      </c>
      <c r="L64" s="76">
        <f>IF(($E58&gt;0),L58,L57)</f>
        <v>100</v>
      </c>
      <c r="M64" s="76"/>
    </row>
    <row r="65" spans="2:13" ht="13.5" hidden="1">
      <c r="B65" s="47" t="s">
        <v>57</v>
      </c>
      <c r="L65" s="18"/>
      <c r="M65" s="18"/>
    </row>
    <row r="66" spans="2:13" ht="13.5" hidden="1">
      <c r="B66" s="37" t="str">
        <f>B60</f>
        <v>per 1000 youth</v>
      </c>
      <c r="C66" s="38">
        <f>C60</f>
        <v>15.248</v>
      </c>
      <c r="D66" s="38">
        <f>D60</f>
        <v>1.228</v>
      </c>
      <c r="E66" s="38">
        <f>MAX(C66:D66)</f>
        <v>15.248</v>
      </c>
      <c r="G66" t="str">
        <f>G60</f>
        <v>per 1000 youth</v>
      </c>
      <c r="L66" s="76">
        <f>L60</f>
        <v>1000</v>
      </c>
      <c r="M66" s="76">
        <f>IF((B66=G66),1,2)</f>
        <v>1</v>
      </c>
    </row>
    <row r="67" spans="2:13" ht="13.5" hidden="1">
      <c r="B67" s="36" t="str">
        <f aca="true" t="shared" si="12" ref="B67:D68">IF(($E61&gt;0),B61,B60)</f>
        <v>per 100 arrests</v>
      </c>
      <c r="C67" s="36">
        <f t="shared" si="12"/>
        <v>3.25</v>
      </c>
      <c r="D67" s="36">
        <f t="shared" si="12"/>
        <v>2</v>
      </c>
      <c r="E67" s="37">
        <f>MAX(C67:D67)</f>
        <v>3.25</v>
      </c>
      <c r="G67" t="str">
        <f>G61</f>
        <v>per 100 arrests</v>
      </c>
      <c r="L67" s="77">
        <f>IF(($E61&gt;0),L61,L60)</f>
        <v>100</v>
      </c>
      <c r="M67" s="76">
        <f>IF((B67=G67),1,2)</f>
        <v>1</v>
      </c>
    </row>
    <row r="68" spans="2:13" ht="13.5" hidden="1">
      <c r="B68" s="36" t="str">
        <f t="shared" si="12"/>
        <v>per 100 referrals</v>
      </c>
      <c r="C68" s="36">
        <f t="shared" si="12"/>
        <v>3.25</v>
      </c>
      <c r="D68" s="36">
        <f t="shared" si="12"/>
        <v>2</v>
      </c>
      <c r="E68" s="37">
        <f>MAX(C68:D68)</f>
        <v>3.25</v>
      </c>
      <c r="G68" t="str">
        <f>G62</f>
        <v>per 100 referrals</v>
      </c>
      <c r="L68" s="77">
        <f>IF(($E62&gt;0),L62,L61)</f>
        <v>100</v>
      </c>
      <c r="M68" s="76">
        <f>IF((B68=G68),1,2)</f>
        <v>1</v>
      </c>
    </row>
    <row r="69" spans="2:13" ht="13.5" hidden="1">
      <c r="B69" s="36" t="str">
        <f>IF(($E63&gt;0),B63,B61)</f>
        <v>per 100 youth petitioned</v>
      </c>
      <c r="C69" s="36">
        <f>IF(($E63&gt;0),C63,C62)</f>
        <v>0.84</v>
      </c>
      <c r="D69" s="36">
        <f>IF(($E63&gt;0),D63,D62)</f>
        <v>0.57</v>
      </c>
      <c r="E69" s="37">
        <f>MAX(C69:D69)</f>
        <v>0.84</v>
      </c>
      <c r="G69" t="str">
        <f>G63</f>
        <v>per 100 youth petitioned</v>
      </c>
      <c r="L69" s="77">
        <f>IF(($E63&gt;0),L63,L62)</f>
        <v>100</v>
      </c>
      <c r="M69" s="76">
        <f>IF((B69=G69),1,2)</f>
        <v>1</v>
      </c>
    </row>
    <row r="70" spans="2:13" ht="13.5" hidden="1">
      <c r="B70" s="37" t="str">
        <f>IF(($E64&gt;0),B64,B63)</f>
        <v>per 100 youth found delinquent</v>
      </c>
      <c r="C70" s="37">
        <f>IF(($E64&gt;0),C64,C63)</f>
        <v>0.84</v>
      </c>
      <c r="D70" s="37">
        <f>IF(($E64&gt;0),D64,D63)</f>
        <v>0.57</v>
      </c>
      <c r="E70" s="38">
        <f>MAX(C70:D70)</f>
        <v>0.84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35">
    <cfRule type="expression" priority="1" dxfId="93" stopIfTrue="1">
      <formula>M69=2</formula>
    </cfRule>
  </conditionalFormatting>
  <conditionalFormatting sqref="G7:G15">
    <cfRule type="expression" priority="2" dxfId="93" stopIfTrue="1">
      <formula>$L7=1</formula>
    </cfRule>
    <cfRule type="expression" priority="3" dxfId="94" stopIfTrue="1">
      <formula>$L7=2</formula>
    </cfRule>
    <cfRule type="expression" priority="4" dxfId="95" stopIfTrue="1">
      <formula>$L7&gt;3</formula>
    </cfRule>
  </conditionalFormatting>
  <conditionalFormatting sqref="F27">
    <cfRule type="expression" priority="5" dxfId="96" stopIfTrue="1">
      <formula>M66=2</formula>
    </cfRule>
  </conditionalFormatting>
  <conditionalFormatting sqref="F28">
    <cfRule type="expression" priority="6" dxfId="93" stopIfTrue="1">
      <formula>M67=2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2" sqref="A2"/>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Entry'!I5</f>
        <v>Other/ Mixed</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Cascade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15248</v>
      </c>
      <c r="D6" s="79"/>
      <c r="E6" s="30">
        <f>'Data Entry'!I6</f>
        <v>0</v>
      </c>
      <c r="F6" s="79"/>
      <c r="G6" s="97"/>
      <c r="H6" s="93"/>
      <c r="I6" s="83"/>
      <c r="J6" s="78"/>
      <c r="K6" s="72"/>
      <c r="L6">
        <f>IF(('Data Entry'!I6&gt;('Data Entry'!B6/100)),1,100)</f>
        <v>100</v>
      </c>
      <c r="M6" t="s">
        <v>82</v>
      </c>
      <c r="N6" s="11"/>
      <c r="O6" s="11"/>
      <c r="P6" s="11"/>
      <c r="Q6" s="11"/>
      <c r="R6" s="11"/>
      <c r="S6" s="51"/>
      <c r="T6" s="51"/>
      <c r="U6" s="49"/>
    </row>
    <row r="7" spans="2:21" ht="18" customHeight="1" thickBot="1">
      <c r="B7" s="81" t="str">
        <f>'Data Entry'!A7</f>
        <v>2. Juvenile Arrests </v>
      </c>
      <c r="C7" s="30">
        <f>'Data Entry'!C7</f>
        <v>325</v>
      </c>
      <c r="D7" s="80">
        <f>IF((AND(C66&gt;0,C7&gt;0)),(C7/C66),0)</f>
        <v>21.31427072402938</v>
      </c>
      <c r="E7" s="30">
        <f>'Data Entry'!I7</f>
        <v>0</v>
      </c>
      <c r="F7" s="80">
        <f>IF((AND($E$7&gt;0,$D$66&gt;0)),($E$7/$D$66),0)</f>
        <v>0</v>
      </c>
      <c r="G7" s="96" t="str">
        <f aca="true" t="shared" si="0" ref="G7:G15">IF(L$6=100,"*",IF(M7=FALSE,"--",IF(K7=20,"**",($F7/$D7))))</f>
        <v>*</v>
      </c>
      <c r="H7" s="94"/>
      <c r="I7" s="84"/>
      <c r="J7" s="75" t="e">
        <f>IF((ABS($U7)&gt;Defaults!D$7),1,2)</f>
        <v>#VALUE!</v>
      </c>
      <c r="K7" s="29">
        <f>IF((AND(N7&gt;Defaults!B$12,(N7+O7)&gt;Defaults!B$13,P7&gt;Defaults!B$12,(P7+Q7)&gt;Defaults!B$13)),1,20)</f>
        <v>20</v>
      </c>
      <c r="L7" t="e">
        <f aca="true" t="shared" si="1" ref="L7:L15">(J7*K7+L$6)-1</f>
        <v>#VALUE!</v>
      </c>
      <c r="M7" t="b">
        <f aca="true" t="shared" si="2" ref="M7:M15">(ISNUMBER(J7))</f>
        <v>0</v>
      </c>
      <c r="N7" s="13">
        <f aca="true" t="shared" si="3" ref="N7:N15">E7</f>
        <v>0</v>
      </c>
      <c r="O7" s="13">
        <f>E6-E7</f>
        <v>0</v>
      </c>
      <c r="P7" s="13">
        <f aca="true" t="shared" si="4" ref="P7:P15">C7</f>
        <v>325</v>
      </c>
      <c r="Q7" s="13">
        <f>C6-C7</f>
        <v>14923</v>
      </c>
      <c r="R7" s="13">
        <f aca="true" t="shared" si="5" ref="R7:R15">SUM(N7:Q7)</f>
        <v>15248</v>
      </c>
      <c r="S7" s="51">
        <f aca="true" t="shared" si="6" ref="S7:S15">R7*((((N7*Q7)-(O7*P7))^2))</f>
        <v>0</v>
      </c>
      <c r="T7" s="51">
        <f aca="true" t="shared" si="7" ref="T7:T15">(N7+O7)*(P7+Q7)*(N7+P7)*(O7+Q7)</f>
        <v>0</v>
      </c>
      <c r="U7" s="49" t="str">
        <f aca="true" t="shared" si="8" ref="U7:U15">IF((S7&gt;0),S7/T7,"- -")</f>
        <v>- -</v>
      </c>
    </row>
    <row r="8" spans="2:21" ht="18" customHeight="1" thickBot="1">
      <c r="B8" s="81" t="str">
        <f>'Data Entry'!A8</f>
        <v>3. Refer to Juvenile Court</v>
      </c>
      <c r="C8" s="30">
        <f>'Data Entry'!C8</f>
        <v>325</v>
      </c>
      <c r="D8" s="80">
        <f>IF((AND(C67&gt;0,C8&gt;0)),(C8/C67),0)</f>
        <v>100</v>
      </c>
      <c r="E8" s="30">
        <f>'Data Entry'!I8</f>
        <v>0</v>
      </c>
      <c r="F8" s="80">
        <f>IF((AND($E$8&gt;0,$D$67&gt;0)),($E8/$D67),0)</f>
        <v>0</v>
      </c>
      <c r="G8" s="96" t="str">
        <f t="shared" si="0"/>
        <v>*</v>
      </c>
      <c r="H8" s="94"/>
      <c r="I8" s="84"/>
      <c r="J8" s="75">
        <f>IF((ABS($U8)&gt;Defaults!D$7),1,2)</f>
        <v>1</v>
      </c>
      <c r="K8" s="29">
        <f>IF((AND(N8&gt;Defaults!B$12,(N8+O8)&gt;Defaults!B$13,P8&gt;Defaults!B$12,(P8+Q8)&gt;Defaults!B$13)),1,20)</f>
        <v>20</v>
      </c>
      <c r="L8">
        <f t="shared" si="1"/>
        <v>119</v>
      </c>
      <c r="M8" t="b">
        <f t="shared" si="2"/>
        <v>1</v>
      </c>
      <c r="N8" s="13">
        <f t="shared" si="3"/>
        <v>0</v>
      </c>
      <c r="O8" s="13">
        <f>((D67*L67)-E8)+0.05</f>
        <v>0.05</v>
      </c>
      <c r="P8" s="13">
        <f t="shared" si="4"/>
        <v>325</v>
      </c>
      <c r="Q8" s="13">
        <f>(C$67*L67)-C8</f>
        <v>0</v>
      </c>
      <c r="R8" s="13">
        <f t="shared" si="5"/>
        <v>325.05</v>
      </c>
      <c r="S8" s="51">
        <f t="shared" si="6"/>
        <v>85833.515625</v>
      </c>
      <c r="T8" s="51">
        <f t="shared" si="7"/>
        <v>264.0625</v>
      </c>
      <c r="U8" s="49">
        <f t="shared" si="8"/>
        <v>325.05</v>
      </c>
    </row>
    <row r="9" spans="2:21" ht="18" customHeight="1" thickBot="1">
      <c r="B9" s="81" t="str">
        <f>'Data Entry'!A9</f>
        <v>4. Cases Diverted </v>
      </c>
      <c r="C9" s="30">
        <f>'Data Entry'!C9</f>
        <v>212</v>
      </c>
      <c r="D9" s="80">
        <f>IF((AND(C68&gt;0,C9&gt;0)),((C9/C68)),0)</f>
        <v>65.23076923076923</v>
      </c>
      <c r="E9" s="30">
        <f>'Data Entry'!I9</f>
        <v>0</v>
      </c>
      <c r="F9" s="80">
        <f>IF((AND($E$9&gt;0,$D$68&gt;0)),(($E$9/$D$68)),0)</f>
        <v>0</v>
      </c>
      <c r="G9" s="96" t="str">
        <f t="shared" si="0"/>
        <v>*</v>
      </c>
      <c r="H9" s="94"/>
      <c r="I9" s="84"/>
      <c r="J9" s="75" t="e">
        <f>IF((ABS($U9)&gt;Defaults!D$7),1,2)</f>
        <v>#VALUE!</v>
      </c>
      <c r="K9" s="29">
        <f>IF((AND(N9&gt;Defaults!B$12,(N9+O9)&gt;Defaults!B$13,P9&gt;Defaults!B$12,(P9+Q9)&gt;Defaults!B$13)),1,20)</f>
        <v>20</v>
      </c>
      <c r="L9" t="e">
        <f t="shared" si="1"/>
        <v>#VALUE!</v>
      </c>
      <c r="M9" t="b">
        <f t="shared" si="2"/>
        <v>0</v>
      </c>
      <c r="N9" s="13">
        <f t="shared" si="3"/>
        <v>0</v>
      </c>
      <c r="O9" s="13">
        <f>(D$68*L68)-E9</f>
        <v>0</v>
      </c>
      <c r="P9" s="13">
        <f t="shared" si="4"/>
        <v>212</v>
      </c>
      <c r="Q9" s="13">
        <f>(C$68*L68)-C9</f>
        <v>113</v>
      </c>
      <c r="R9" s="13">
        <f t="shared" si="5"/>
        <v>325</v>
      </c>
      <c r="S9" s="51">
        <f t="shared" si="6"/>
        <v>0</v>
      </c>
      <c r="T9" s="51">
        <f t="shared" si="7"/>
        <v>0</v>
      </c>
      <c r="U9" s="49" t="str">
        <f t="shared" si="8"/>
        <v>- -</v>
      </c>
    </row>
    <row r="10" spans="2:21" ht="18" customHeight="1" thickBot="1">
      <c r="B10" s="81" t="str">
        <f>'Data Entry'!A10</f>
        <v>5. Cases Involving Secure Detention</v>
      </c>
      <c r="C10" s="30">
        <f>'Data Entry'!C10</f>
        <v>216</v>
      </c>
      <c r="D10" s="80">
        <f>IF(((AND(C68&gt;0,C10&gt;0))),(C10/(C68)),0)</f>
        <v>66.46153846153847</v>
      </c>
      <c r="E10" s="30">
        <f>'Data Entry'!I10</f>
        <v>0</v>
      </c>
      <c r="F10" s="80">
        <f>IF(((AND($E$10&gt;0,$D$68&gt;0))),($E$10/($D$68)),0)</f>
        <v>0</v>
      </c>
      <c r="G10" s="96" t="str">
        <f t="shared" si="0"/>
        <v>*</v>
      </c>
      <c r="H10" s="94"/>
      <c r="I10" s="84"/>
      <c r="J10" s="75" t="e">
        <f>IF((ABS($U10)&gt;Defaults!D$7),1,2)</f>
        <v>#VALUE!</v>
      </c>
      <c r="K10" s="29">
        <f>IF((AND(N10&gt;Defaults!B$12,(N10+O10)&gt;Defaults!B$13,P10&gt;Defaults!B$12,(P10+Q10)&gt;Defaults!B$13)),1,20)</f>
        <v>20</v>
      </c>
      <c r="L10" t="e">
        <f t="shared" si="1"/>
        <v>#VALUE!</v>
      </c>
      <c r="M10" t="b">
        <f t="shared" si="2"/>
        <v>0</v>
      </c>
      <c r="N10" s="13">
        <f t="shared" si="3"/>
        <v>0</v>
      </c>
      <c r="O10" s="13">
        <f>(D$68*L68)-E10</f>
        <v>0</v>
      </c>
      <c r="P10" s="13">
        <f t="shared" si="4"/>
        <v>216</v>
      </c>
      <c r="Q10" s="13">
        <f>(C$68*L68)-C10</f>
        <v>109</v>
      </c>
      <c r="R10" s="13">
        <f t="shared" si="5"/>
        <v>325</v>
      </c>
      <c r="S10" s="51">
        <f t="shared" si="6"/>
        <v>0</v>
      </c>
      <c r="T10" s="51">
        <f t="shared" si="7"/>
        <v>0</v>
      </c>
      <c r="U10" s="49" t="str">
        <f t="shared" si="8"/>
        <v>- -</v>
      </c>
    </row>
    <row r="11" spans="2:21" ht="18" customHeight="1" thickBot="1">
      <c r="B11" s="81" t="str">
        <f>'Data Entry'!A11</f>
        <v>6. Cases Petitioned (Charge Filed)</v>
      </c>
      <c r="C11" s="30">
        <f>'Data Entry'!C11</f>
        <v>84</v>
      </c>
      <c r="D11" s="80">
        <f>IF(((AND(C68&gt;0,C11&gt;0))),(C11/(C68)),0)</f>
        <v>25.846153846153847</v>
      </c>
      <c r="E11" s="30">
        <f>'Data Entry'!I11</f>
        <v>0</v>
      </c>
      <c r="F11" s="80">
        <f>IF(((AND($E$11&gt;0,$D$68&gt;0))),($E$11/($D$68)),0)</f>
        <v>0</v>
      </c>
      <c r="G11" s="96" t="str">
        <f t="shared" si="0"/>
        <v>*</v>
      </c>
      <c r="H11" s="94"/>
      <c r="I11" s="84"/>
      <c r="J11" s="75" t="e">
        <f>IF((ABS($U11)&gt;Defaults!D$7),1,2)</f>
        <v>#VALUE!</v>
      </c>
      <c r="K11" s="29">
        <f>IF((AND(N11&gt;Defaults!B$12,(N11+O11)&gt;Defaults!B$13,P11&gt;Defaults!B$12,(P11+Q11)&gt;Defaults!B$13)),1,20)</f>
        <v>20</v>
      </c>
      <c r="L11" t="e">
        <f t="shared" si="1"/>
        <v>#VALUE!</v>
      </c>
      <c r="M11" t="b">
        <f t="shared" si="2"/>
        <v>0</v>
      </c>
      <c r="N11" s="13">
        <f t="shared" si="3"/>
        <v>0</v>
      </c>
      <c r="O11" s="13">
        <f>(D$68*L68)-E11</f>
        <v>0</v>
      </c>
      <c r="P11" s="13">
        <f t="shared" si="4"/>
        <v>84</v>
      </c>
      <c r="Q11" s="13">
        <f>(C$68*L68)-C11</f>
        <v>241</v>
      </c>
      <c r="R11" s="13">
        <f t="shared" si="5"/>
        <v>325</v>
      </c>
      <c r="S11" s="51">
        <f t="shared" si="6"/>
        <v>0</v>
      </c>
      <c r="T11" s="51">
        <f t="shared" si="7"/>
        <v>0</v>
      </c>
      <c r="U11" s="49" t="str">
        <f t="shared" si="8"/>
        <v>- -</v>
      </c>
    </row>
    <row r="12" spans="2:21" ht="18" customHeight="1" thickBot="1">
      <c r="B12" s="81" t="str">
        <f>'Data Entry'!A12</f>
        <v>7. Cases Resulting in Delinquent Findings</v>
      </c>
      <c r="C12" s="30">
        <f>'Data Entry'!C12</f>
        <v>84</v>
      </c>
      <c r="D12" s="80">
        <f>IF(((AND(C69&gt;0,C12&gt;0))),(C12/(C69)),0)</f>
        <v>100</v>
      </c>
      <c r="E12" s="30">
        <f>'Data Entry'!I12</f>
        <v>0</v>
      </c>
      <c r="F12" s="80">
        <f>IF(((AND($D$69&gt;0,$E$12&gt;0))),(E12/(D69)),0)</f>
        <v>0</v>
      </c>
      <c r="G12" s="96" t="str">
        <f t="shared" si="0"/>
        <v>*</v>
      </c>
      <c r="H12" s="94"/>
      <c r="I12" s="84"/>
      <c r="J12" s="75" t="e">
        <f>IF((ABS($U12)&gt;Defaults!D$7),1,2)</f>
        <v>#VALUE!</v>
      </c>
      <c r="K12" s="29">
        <f>IF((AND(N12&gt;Defaults!B$12,(N12+O12)&gt;Defaults!B$13,P12&gt;Defaults!B$12,(P12+Q12)&gt;Defaults!B$13)),1,20)</f>
        <v>20</v>
      </c>
      <c r="L12" t="e">
        <f t="shared" si="1"/>
        <v>#VALUE!</v>
      </c>
      <c r="M12" t="b">
        <f t="shared" si="2"/>
        <v>0</v>
      </c>
      <c r="N12" s="13">
        <f t="shared" si="3"/>
        <v>0</v>
      </c>
      <c r="O12" s="13">
        <f>(D69*L69)-E12</f>
        <v>0</v>
      </c>
      <c r="P12" s="13">
        <f t="shared" si="4"/>
        <v>84</v>
      </c>
      <c r="Q12" s="13">
        <f>(C69*L69)-C12</f>
        <v>0</v>
      </c>
      <c r="R12" s="13">
        <f t="shared" si="5"/>
        <v>84</v>
      </c>
      <c r="S12" s="51">
        <f t="shared" si="6"/>
        <v>0</v>
      </c>
      <c r="T12" s="51">
        <f t="shared" si="7"/>
        <v>0</v>
      </c>
      <c r="U12" s="49" t="str">
        <f t="shared" si="8"/>
        <v>- -</v>
      </c>
    </row>
    <row r="13" spans="2:21" ht="18" customHeight="1" thickBot="1">
      <c r="B13" s="81" t="str">
        <f>'Data Entry'!A13</f>
        <v>8. Cases resulting in Probation Placement</v>
      </c>
      <c r="C13" s="30">
        <f>'Data Entry'!C13</f>
        <v>84</v>
      </c>
      <c r="D13" s="80">
        <f>IF(((AND(C70&gt;0,C13&gt;0))),(C13/(C70)),0)</f>
        <v>100</v>
      </c>
      <c r="E13" s="30">
        <f>'Data Entry'!I13</f>
        <v>0</v>
      </c>
      <c r="F13" s="80">
        <f>IF(((AND($D$70&gt;0,$E$13&gt;0))),($E$13/($D$70)),0)</f>
        <v>0</v>
      </c>
      <c r="G13" s="96" t="str">
        <f t="shared" si="0"/>
        <v>*</v>
      </c>
      <c r="H13" s="94"/>
      <c r="I13" s="84"/>
      <c r="J13" s="75" t="e">
        <f>IF((ABS($U13)&gt;Defaults!D$7),1,2)</f>
        <v>#VALUE!</v>
      </c>
      <c r="K13" s="29">
        <f>IF((AND(N13&gt;Defaults!B$12,(N13+O13)&gt;Defaults!B$13,P13&gt;Defaults!B$12,(P13+Q13)&gt;Defaults!B$13)),1,20)</f>
        <v>20</v>
      </c>
      <c r="L13" t="e">
        <f t="shared" si="1"/>
        <v>#VALUE!</v>
      </c>
      <c r="M13" t="b">
        <f t="shared" si="2"/>
        <v>0</v>
      </c>
      <c r="N13" s="13">
        <f t="shared" si="3"/>
        <v>0</v>
      </c>
      <c r="O13" s="13">
        <f>(D70*L70)-E13</f>
        <v>0</v>
      </c>
      <c r="P13" s="13">
        <f t="shared" si="4"/>
        <v>84</v>
      </c>
      <c r="Q13" s="13">
        <f>(C70*L70)-C13</f>
        <v>0</v>
      </c>
      <c r="R13" s="13">
        <f t="shared" si="5"/>
        <v>84</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12</v>
      </c>
      <c r="D14" s="80">
        <f>IF(((AND(C70&gt;0,C14&gt;0))),((C14/(C70))),0)</f>
        <v>14.285714285714286</v>
      </c>
      <c r="E14" s="30">
        <f>'Data Entry'!I14</f>
        <v>0</v>
      </c>
      <c r="F14" s="80">
        <f>IF(((AND($D$70&gt;0,$E$14&gt;0))),(($E$14/($D$70))),0)</f>
        <v>0</v>
      </c>
      <c r="G14" s="96" t="str">
        <f t="shared" si="0"/>
        <v>*</v>
      </c>
      <c r="H14" s="94"/>
      <c r="I14" s="84"/>
      <c r="J14" s="75" t="e">
        <f>IF((ABS($U14)&gt;Defaults!D$7),1,2)</f>
        <v>#VALUE!</v>
      </c>
      <c r="K14" s="29">
        <f>IF((AND(N14&gt;Defaults!B$12,(N14+O14)&gt;Defaults!B$13,P14&gt;Defaults!B$12,(P14+Q14)&gt;Defaults!B$13)),1,20)</f>
        <v>20</v>
      </c>
      <c r="L14" t="e">
        <f t="shared" si="1"/>
        <v>#VALUE!</v>
      </c>
      <c r="M14" t="b">
        <f t="shared" si="2"/>
        <v>0</v>
      </c>
      <c r="N14" s="13">
        <f t="shared" si="3"/>
        <v>0</v>
      </c>
      <c r="O14" s="13">
        <f>(D70*L70)-E14</f>
        <v>0</v>
      </c>
      <c r="P14" s="13">
        <f t="shared" si="4"/>
        <v>12</v>
      </c>
      <c r="Q14" s="13">
        <f>(C70*L70)-C14</f>
        <v>72</v>
      </c>
      <c r="R14" s="13">
        <f t="shared" si="5"/>
        <v>84</v>
      </c>
      <c r="S14" s="51">
        <f t="shared" si="6"/>
        <v>0</v>
      </c>
      <c r="T14" s="51">
        <f t="shared" si="7"/>
        <v>0</v>
      </c>
      <c r="U14" s="49" t="str">
        <f t="shared" si="8"/>
        <v>- -</v>
      </c>
    </row>
    <row r="15" spans="2:21" ht="14.25" thickBot="1">
      <c r="B15" s="81" t="str">
        <f>'Data Entry'!A15</f>
        <v>10. Cases Transferred to Adult Court </v>
      </c>
      <c r="C15" s="30">
        <f>'Data Entry'!C15</f>
        <v>1</v>
      </c>
      <c r="D15" s="80">
        <f>IF(((AND(C69&gt;0,C15&gt;0))),((C15/(C69))),0)</f>
        <v>1.1904761904761905</v>
      </c>
      <c r="E15" s="30">
        <f>'Data Entry'!I15</f>
        <v>0</v>
      </c>
      <c r="F15" s="80">
        <f>IF(((AND($D$69&gt;0,$E$15&gt;0))),(($E$15/($D$69))),0)</f>
        <v>0</v>
      </c>
      <c r="G15" s="96" t="str">
        <f t="shared" si="0"/>
        <v>*</v>
      </c>
      <c r="H15" s="94"/>
      <c r="I15" s="84"/>
      <c r="J15" s="75" t="e">
        <f>IF((ABS($U15)&gt;Defaults!D$7),1,2)</f>
        <v>#VALUE!</v>
      </c>
      <c r="K15" s="29">
        <f>IF((AND(N15&gt;Defaults!B$12,(N15+O15)&gt;Defaults!B$13,P15&gt;Defaults!B$12,(P15+Q15)&gt;Defaults!B$13)),1,20)</f>
        <v>20</v>
      </c>
      <c r="L15" t="e">
        <f t="shared" si="1"/>
        <v>#VALUE!</v>
      </c>
      <c r="M15" t="b">
        <f t="shared" si="2"/>
        <v>0</v>
      </c>
      <c r="N15" s="13">
        <f t="shared" si="3"/>
        <v>0</v>
      </c>
      <c r="O15" s="13">
        <f>(D69*L69)-E15</f>
        <v>0</v>
      </c>
      <c r="P15" s="13">
        <f t="shared" si="4"/>
        <v>1</v>
      </c>
      <c r="Q15" s="13">
        <f>(C69*L69)-C15</f>
        <v>83</v>
      </c>
      <c r="R15" s="13">
        <f t="shared" si="5"/>
        <v>84</v>
      </c>
      <c r="S15" s="51">
        <f t="shared" si="6"/>
        <v>0</v>
      </c>
      <c r="T15" s="51">
        <f t="shared" si="7"/>
        <v>0</v>
      </c>
      <c r="U15" s="49" t="str">
        <f t="shared" si="8"/>
        <v>- -</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0</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15.248</v>
      </c>
      <c r="D42" s="38">
        <f>E6/1000</f>
        <v>0</v>
      </c>
      <c r="E42" s="38">
        <f>MAX(C42:D42)</f>
        <v>15.248</v>
      </c>
      <c r="G42" t="str">
        <f>B42</f>
        <v>per 1000 youth</v>
      </c>
      <c r="L42" s="18">
        <v>1000</v>
      </c>
      <c r="M42" s="18"/>
      <c r="R42" s="37"/>
    </row>
    <row r="43" spans="2:18" ht="13.5" hidden="1">
      <c r="B43" s="36" t="s">
        <v>41</v>
      </c>
      <c r="C43" s="38">
        <f>C7/100</f>
        <v>3.25</v>
      </c>
      <c r="D43" s="38">
        <f>E7/100</f>
        <v>0</v>
      </c>
      <c r="E43" s="38">
        <f>MAX(C43:D43,0)</f>
        <v>3.25</v>
      </c>
      <c r="G43" t="str">
        <f>B43</f>
        <v>per 100 arrests</v>
      </c>
      <c r="L43" s="18">
        <v>100</v>
      </c>
      <c r="M43" s="18"/>
      <c r="R43" s="37"/>
    </row>
    <row r="44" spans="2:18" ht="13.5" hidden="1">
      <c r="B44" s="36" t="s">
        <v>54</v>
      </c>
      <c r="C44" s="38">
        <f>C8/100</f>
        <v>3.25</v>
      </c>
      <c r="D44" s="38">
        <f>E8/100</f>
        <v>0</v>
      </c>
      <c r="E44" s="38">
        <f>MAX(C44:D44,0)</f>
        <v>3.25</v>
      </c>
      <c r="G44" t="str">
        <f>B44</f>
        <v>per 100 referrals</v>
      </c>
      <c r="L44" s="18">
        <v>100</v>
      </c>
      <c r="M44" s="18"/>
      <c r="R44" s="37"/>
    </row>
    <row r="45" spans="2:18" ht="13.5" hidden="1">
      <c r="B45" s="39" t="s">
        <v>43</v>
      </c>
      <c r="C45" s="37">
        <f>C11/100</f>
        <v>0.84</v>
      </c>
      <c r="D45" s="37">
        <f>E11/100</f>
        <v>0</v>
      </c>
      <c r="E45" s="38">
        <f>MAX(C45:D45,0)</f>
        <v>0.84</v>
      </c>
      <c r="G45" t="str">
        <f>B45</f>
        <v>per 100 youth petitioned</v>
      </c>
      <c r="L45" s="18">
        <v>100</v>
      </c>
      <c r="M45" s="18"/>
      <c r="R45" s="37"/>
    </row>
    <row r="46" spans="2:18" ht="13.5" hidden="1">
      <c r="B46" s="39" t="s">
        <v>44</v>
      </c>
      <c r="C46" s="37">
        <f>C12/100</f>
        <v>0.84</v>
      </c>
      <c r="D46" s="37">
        <f>E12/100</f>
        <v>0</v>
      </c>
      <c r="E46" s="38">
        <f>MAX(C46:D46)</f>
        <v>0.84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15.248</v>
      </c>
      <c r="D48" s="38">
        <f>D42</f>
        <v>0</v>
      </c>
      <c r="E48" s="38">
        <f>MAX(C48:D48)</f>
        <v>15.248</v>
      </c>
      <c r="G48" t="str">
        <f>G42</f>
        <v>per 1000 youth</v>
      </c>
      <c r="L48" s="76">
        <f>L42</f>
        <v>1000</v>
      </c>
      <c r="M48" s="76"/>
      <c r="N48" s="11"/>
      <c r="O48" s="11"/>
      <c r="P48" s="11"/>
      <c r="Q48" s="11"/>
      <c r="R48" s="11"/>
    </row>
    <row r="49" spans="2:18" ht="13.5" hidden="1">
      <c r="B49" s="36" t="str">
        <f aca="true" t="shared" si="9" ref="B49:D50">IF(($E43&gt;0),B43,B42)</f>
        <v>per 100 arrests</v>
      </c>
      <c r="C49" s="36">
        <f t="shared" si="9"/>
        <v>3.25</v>
      </c>
      <c r="D49" s="36">
        <f t="shared" si="9"/>
        <v>0</v>
      </c>
      <c r="E49" s="37">
        <f>MAX(C49:D49)</f>
        <v>3.25</v>
      </c>
      <c r="G49" t="str">
        <f>G43</f>
        <v>per 100 arrests</v>
      </c>
      <c r="L49" s="77">
        <f>IF(($E43&gt;0),L43,L42)</f>
        <v>100</v>
      </c>
      <c r="M49" s="77"/>
      <c r="N49" s="11"/>
      <c r="O49" s="11"/>
      <c r="P49" s="11"/>
      <c r="Q49" s="11"/>
      <c r="R49" s="11"/>
    </row>
    <row r="50" spans="2:18" ht="13.5" hidden="1">
      <c r="B50" s="36" t="str">
        <f t="shared" si="9"/>
        <v>per 100 referrals</v>
      </c>
      <c r="C50" s="36">
        <f t="shared" si="9"/>
        <v>3.25</v>
      </c>
      <c r="D50" s="36">
        <f t="shared" si="9"/>
        <v>0</v>
      </c>
      <c r="E50" s="37">
        <f>MAX(C50:D50)</f>
        <v>3.25</v>
      </c>
      <c r="G50" t="str">
        <f>G44</f>
        <v>per 100 referrals</v>
      </c>
      <c r="L50" s="77">
        <f>IF(($E44&gt;0),L44,L43)</f>
        <v>100</v>
      </c>
      <c r="M50" s="77"/>
      <c r="N50" s="11"/>
      <c r="O50" s="11"/>
      <c r="P50" s="11"/>
      <c r="Q50" s="11"/>
      <c r="R50" s="11"/>
    </row>
    <row r="51" spans="2:13" ht="13.5" hidden="1">
      <c r="B51" s="36" t="str">
        <f>IF(($E45&gt;0),B45,B43)</f>
        <v>per 100 youth petitioned</v>
      </c>
      <c r="C51" s="36">
        <f>IF(($E45&gt;0),C45,C44)</f>
        <v>0.84</v>
      </c>
      <c r="D51" s="36">
        <f>IF(($E45&gt;0),D45,D44)</f>
        <v>0</v>
      </c>
      <c r="E51" s="37">
        <f>MAX(C51:D51)</f>
        <v>0.84</v>
      </c>
      <c r="G51" t="str">
        <f>G45</f>
        <v>per 100 youth petitioned</v>
      </c>
      <c r="L51" s="77">
        <f>IF(($E45&gt;0),L45,L44)</f>
        <v>100</v>
      </c>
      <c r="M51" s="77"/>
    </row>
    <row r="52" spans="2:13" ht="13.5" hidden="1">
      <c r="B52" s="37" t="str">
        <f>IF(($E46&gt;0),B46,B45)</f>
        <v>per 100 youth found delinquent</v>
      </c>
      <c r="C52" s="37">
        <f>IF(($E46&gt;0),C46,C45)</f>
        <v>0.84</v>
      </c>
      <c r="D52" s="37">
        <f>IF(($E46&gt;0),D46,D45)</f>
        <v>0</v>
      </c>
      <c r="E52" s="38">
        <f>MAX(C52:D52)</f>
        <v>0.84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15.248</v>
      </c>
      <c r="D54" s="38">
        <f>D48</f>
        <v>0</v>
      </c>
      <c r="E54" s="38">
        <f>MAX(C54:D54)</f>
        <v>15.248</v>
      </c>
      <c r="G54" t="str">
        <f>G48</f>
        <v>per 1000 youth</v>
      </c>
      <c r="L54" s="76">
        <f>L48</f>
        <v>1000</v>
      </c>
      <c r="M54" s="76"/>
    </row>
    <row r="55" spans="2:13" ht="13.5" hidden="1">
      <c r="B55" s="36" t="str">
        <f aca="true" t="shared" si="10" ref="B55:D56">IF(($E49&gt;0),B49,B48)</f>
        <v>per 100 arrests</v>
      </c>
      <c r="C55" s="36">
        <f t="shared" si="10"/>
        <v>3.25</v>
      </c>
      <c r="D55" s="36">
        <f t="shared" si="10"/>
        <v>0</v>
      </c>
      <c r="E55" s="37">
        <f>MAX(C55:D55)</f>
        <v>3.25</v>
      </c>
      <c r="G55" t="str">
        <f>G49</f>
        <v>per 100 arrests</v>
      </c>
      <c r="L55" s="77">
        <f>IF(($E49&gt;0),L49,L48)</f>
        <v>100</v>
      </c>
      <c r="M55" s="77"/>
    </row>
    <row r="56" spans="2:13" ht="13.5" hidden="1">
      <c r="B56" s="36" t="str">
        <f t="shared" si="10"/>
        <v>per 100 referrals</v>
      </c>
      <c r="C56" s="36">
        <f t="shared" si="10"/>
        <v>3.25</v>
      </c>
      <c r="D56" s="36">
        <f t="shared" si="10"/>
        <v>0</v>
      </c>
      <c r="E56" s="37">
        <f>MAX(C56:D56)</f>
        <v>3.25</v>
      </c>
      <c r="G56" t="str">
        <f>G50</f>
        <v>per 100 referrals</v>
      </c>
      <c r="L56" s="77">
        <f>IF(($E50&gt;0),L50,L49)</f>
        <v>100</v>
      </c>
      <c r="M56" s="77"/>
    </row>
    <row r="57" spans="2:13" ht="13.5" hidden="1">
      <c r="B57" s="36" t="str">
        <f>IF(($E51&gt;0),B51,B49)</f>
        <v>per 100 youth petitioned</v>
      </c>
      <c r="C57" s="36">
        <f>IF(($E51&gt;0),C51,C50)</f>
        <v>0.84</v>
      </c>
      <c r="D57" s="36">
        <f>IF(($E51&gt;0),D51,D50)</f>
        <v>0</v>
      </c>
      <c r="E57" s="37">
        <f>MAX(C57:D57)</f>
        <v>0.84</v>
      </c>
      <c r="G57" t="str">
        <f>G51</f>
        <v>per 100 youth petitioned</v>
      </c>
      <c r="L57" s="77">
        <f>IF(($E51&gt;0),L51,L50)</f>
        <v>100</v>
      </c>
      <c r="M57" s="77"/>
    </row>
    <row r="58" spans="2:13" ht="13.5" hidden="1">
      <c r="B58" s="37" t="str">
        <f>IF(($E52&gt;0),B52,B51)</f>
        <v>per 100 youth found delinquent</v>
      </c>
      <c r="C58" s="37">
        <f>IF(($E52&gt;0),C52,C51)</f>
        <v>0.84</v>
      </c>
      <c r="D58" s="37">
        <f>IF(($E52&gt;0),D52,D51)</f>
        <v>0</v>
      </c>
      <c r="E58" s="38">
        <f>MAX(C58:D58)</f>
        <v>0.84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15.248</v>
      </c>
      <c r="D60" s="38">
        <f>D54</f>
        <v>0</v>
      </c>
      <c r="E60" s="38">
        <f>MAX(C60:D60)</f>
        <v>15.248</v>
      </c>
      <c r="G60" t="str">
        <f>G54</f>
        <v>per 1000 youth</v>
      </c>
      <c r="L60" s="76">
        <f>L54</f>
        <v>1000</v>
      </c>
      <c r="M60" s="76"/>
    </row>
    <row r="61" spans="2:13" ht="13.5" hidden="1">
      <c r="B61" s="36" t="str">
        <f aca="true" t="shared" si="11" ref="B61:D62">IF(($E55&gt;0),B55,B54)</f>
        <v>per 100 arrests</v>
      </c>
      <c r="C61" s="36">
        <f t="shared" si="11"/>
        <v>3.25</v>
      </c>
      <c r="D61" s="36">
        <f t="shared" si="11"/>
        <v>0</v>
      </c>
      <c r="E61" s="37">
        <f>MAX(C61:D61)</f>
        <v>3.25</v>
      </c>
      <c r="G61" t="str">
        <f>G55</f>
        <v>per 100 arrests</v>
      </c>
      <c r="L61" s="77">
        <f>IF(($E55&gt;0),L55,L54)</f>
        <v>100</v>
      </c>
      <c r="M61" s="77"/>
    </row>
    <row r="62" spans="2:13" ht="13.5" hidden="1">
      <c r="B62" s="36" t="str">
        <f t="shared" si="11"/>
        <v>per 100 referrals</v>
      </c>
      <c r="C62" s="36">
        <f t="shared" si="11"/>
        <v>3.25</v>
      </c>
      <c r="D62" s="36">
        <f t="shared" si="11"/>
        <v>0</v>
      </c>
      <c r="E62" s="37">
        <f>MAX(C62:D62)</f>
        <v>3.25</v>
      </c>
      <c r="G62" t="str">
        <f>G56</f>
        <v>per 100 referrals</v>
      </c>
      <c r="L62" s="77">
        <f>IF(($E56&gt;0),L56,L55)</f>
        <v>100</v>
      </c>
      <c r="M62" s="77"/>
    </row>
    <row r="63" spans="2:13" ht="13.5" hidden="1">
      <c r="B63" s="36" t="str">
        <f>IF(($E57&gt;0),B57,B55)</f>
        <v>per 100 youth petitioned</v>
      </c>
      <c r="C63" s="36">
        <f>IF(($E57&gt;0),C57,C56)</f>
        <v>0.84</v>
      </c>
      <c r="D63" s="36">
        <f>IF(($E57&gt;0),D57,D56)</f>
        <v>0</v>
      </c>
      <c r="E63" s="37">
        <f>MAX(C63:D63)</f>
        <v>0.84</v>
      </c>
      <c r="G63" t="str">
        <f>G57</f>
        <v>per 100 youth petitioned</v>
      </c>
      <c r="L63" s="77">
        <f>IF(($E57&gt;0),L57,L56)</f>
        <v>100</v>
      </c>
      <c r="M63" s="77"/>
    </row>
    <row r="64" spans="2:13" ht="13.5" hidden="1">
      <c r="B64" s="37" t="str">
        <f>IF(($E58&gt;0),B58,B57)</f>
        <v>per 100 youth found delinquent</v>
      </c>
      <c r="C64" s="37">
        <f>IF(($E58&gt;0),C58,C57)</f>
        <v>0.84</v>
      </c>
      <c r="D64" s="37">
        <f>IF(($E58&gt;0),D58,D57)</f>
        <v>0</v>
      </c>
      <c r="E64" s="38">
        <f>MAX(C64:D64)</f>
        <v>0.84</v>
      </c>
      <c r="G64" t="str">
        <f>G58</f>
        <v>per 100 youth found delinquent</v>
      </c>
      <c r="L64" s="76">
        <f>IF(($E58&gt;0),L58,L57)</f>
        <v>100</v>
      </c>
      <c r="M64" s="76"/>
    </row>
    <row r="65" spans="2:13" ht="13.5" hidden="1">
      <c r="B65" s="47" t="s">
        <v>57</v>
      </c>
      <c r="L65" s="18"/>
      <c r="M65" s="18"/>
    </row>
    <row r="66" spans="2:13" ht="13.5" hidden="1">
      <c r="B66" s="37" t="str">
        <f>B60</f>
        <v>per 1000 youth</v>
      </c>
      <c r="C66" s="38">
        <f>C60</f>
        <v>15.248</v>
      </c>
      <c r="D66" s="38">
        <f>D60</f>
        <v>0</v>
      </c>
      <c r="E66" s="38">
        <f>MAX(C66:D66)</f>
        <v>15.248</v>
      </c>
      <c r="G66" t="str">
        <f>G60</f>
        <v>per 1000 youth</v>
      </c>
      <c r="L66" s="76">
        <f>L60</f>
        <v>1000</v>
      </c>
      <c r="M66" s="76">
        <f>IF((B66=G66),1,2)</f>
        <v>1</v>
      </c>
    </row>
    <row r="67" spans="2:13" ht="13.5" hidden="1">
      <c r="B67" s="36" t="str">
        <f aca="true" t="shared" si="12" ref="B67:D68">IF(($E61&gt;0),B61,B60)</f>
        <v>per 100 arrests</v>
      </c>
      <c r="C67" s="36">
        <f t="shared" si="12"/>
        <v>3.25</v>
      </c>
      <c r="D67" s="36">
        <f t="shared" si="12"/>
        <v>0</v>
      </c>
      <c r="E67" s="37">
        <f>MAX(C67:D67)</f>
        <v>3.25</v>
      </c>
      <c r="G67" t="str">
        <f>G61</f>
        <v>per 100 arrests</v>
      </c>
      <c r="L67" s="77">
        <f>IF(($E61&gt;0),L61,L60)</f>
        <v>100</v>
      </c>
      <c r="M67" s="76">
        <f>IF((B67=G67),1,2)</f>
        <v>1</v>
      </c>
    </row>
    <row r="68" spans="2:13" ht="13.5" hidden="1">
      <c r="B68" s="36" t="str">
        <f t="shared" si="12"/>
        <v>per 100 referrals</v>
      </c>
      <c r="C68" s="36">
        <f t="shared" si="12"/>
        <v>3.25</v>
      </c>
      <c r="D68" s="36">
        <f t="shared" si="12"/>
        <v>0</v>
      </c>
      <c r="E68" s="37">
        <f>MAX(C68:D68)</f>
        <v>3.25</v>
      </c>
      <c r="G68" t="str">
        <f>G62</f>
        <v>per 100 referrals</v>
      </c>
      <c r="L68" s="77">
        <f>IF(($E62&gt;0),L62,L61)</f>
        <v>100</v>
      </c>
      <c r="M68" s="76">
        <f>IF((B68=G68),1,2)</f>
        <v>1</v>
      </c>
    </row>
    <row r="69" spans="2:13" ht="13.5" hidden="1">
      <c r="B69" s="36" t="str">
        <f>IF(($E63&gt;0),B63,B61)</f>
        <v>per 100 youth petitioned</v>
      </c>
      <c r="C69" s="36">
        <f>IF(($E63&gt;0),C63,C62)</f>
        <v>0.84</v>
      </c>
      <c r="D69" s="36">
        <f>IF(($E63&gt;0),D63,D62)</f>
        <v>0</v>
      </c>
      <c r="E69" s="37">
        <f>MAX(C69:D69)</f>
        <v>0.84</v>
      </c>
      <c r="G69" t="str">
        <f>G63</f>
        <v>per 100 youth petitioned</v>
      </c>
      <c r="L69" s="77">
        <f>IF(($E63&gt;0),L63,L62)</f>
        <v>100</v>
      </c>
      <c r="M69" s="76">
        <f>IF((B69=G69),1,2)</f>
        <v>1</v>
      </c>
    </row>
    <row r="70" spans="2:13" ht="13.5" hidden="1">
      <c r="B70" s="37" t="str">
        <f>IF(($E64&gt;0),B64,B63)</f>
        <v>per 100 youth found delinquent</v>
      </c>
      <c r="C70" s="37">
        <f>IF(($E64&gt;0),C64,C63)</f>
        <v>0.84</v>
      </c>
      <c r="D70" s="37">
        <f>IF(($E64&gt;0),D64,D63)</f>
        <v>0</v>
      </c>
      <c r="E70" s="38">
        <f>MAX(C70:D70)</f>
        <v>0.84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28">
    <cfRule type="expression" priority="1" dxfId="93" stopIfTrue="1">
      <formula>M67=2</formula>
    </cfRule>
  </conditionalFormatting>
  <conditionalFormatting sqref="G7:G15">
    <cfRule type="expression" priority="2" dxfId="93" stopIfTrue="1">
      <formula>$L7=1</formula>
    </cfRule>
    <cfRule type="expression" priority="3" dxfId="94" stopIfTrue="1">
      <formula>$L7=2</formula>
    </cfRule>
    <cfRule type="expression" priority="4" dxfId="95" stopIfTrue="1">
      <formula>$L7&gt;3</formula>
    </cfRule>
  </conditionalFormatting>
  <conditionalFormatting sqref="F27">
    <cfRule type="expression" priority="5" dxfId="96" stopIfTrue="1">
      <formula>M66=2</formula>
    </cfRule>
  </conditionalFormatting>
  <conditionalFormatting sqref="F29">
    <cfRule type="expression" priority="6" dxfId="93" stopIfTrue="1">
      <formula>M68=2</formula>
    </cfRule>
  </conditionalFormatting>
  <conditionalFormatting sqref="F30">
    <cfRule type="expression" priority="7" dxfId="93" stopIfTrue="1">
      <formula>M68=2</formula>
    </cfRule>
  </conditionalFormatting>
  <conditionalFormatting sqref="F31">
    <cfRule type="expression" priority="8" dxfId="93" stopIfTrue="1">
      <formula>M68=2</formula>
    </cfRule>
  </conditionalFormatting>
  <conditionalFormatting sqref="F32:F33">
    <cfRule type="expression" priority="9" dxfId="93" stopIfTrue="1">
      <formula>M69=2</formula>
    </cfRule>
  </conditionalFormatting>
  <conditionalFormatting sqref="F34">
    <cfRule type="expression" priority="10" dxfId="93" stopIfTrue="1">
      <formula>M70=2</formula>
    </cfRule>
  </conditionalFormatting>
  <conditionalFormatting sqref="F35">
    <cfRule type="expression" priority="11" dxfId="93" stopIfTrue="1">
      <formula>M69=2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B1:U83"/>
  <sheetViews>
    <sheetView showGridLines="0" showRowColHeaders="0" zoomScale="95" zoomScaleNormal="95" zoomScalePageLayoutView="0" workbookViewId="0" topLeftCell="A1">
      <selection activeCell="A3" sqref="A3"/>
    </sheetView>
  </sheetViews>
  <sheetFormatPr defaultColWidth="9.140625" defaultRowHeight="15"/>
  <cols>
    <col min="1" max="1" width="2.57421875" style="0" customWidth="1"/>
    <col min="2" max="2" width="45.7109375" style="0" customWidth="1"/>
    <col min="3" max="3" width="10.57421875" style="0" hidden="1" customWidth="1"/>
    <col min="4" max="4" width="15.7109375" style="0" customWidth="1"/>
    <col min="5" max="5" width="15.7109375" style="0" hidden="1" customWidth="1"/>
    <col min="6" max="7" width="15.7109375" style="0" customWidth="1"/>
    <col min="8" max="8" width="8.00390625" style="0" hidden="1" customWidth="1"/>
    <col min="9" max="9" width="7.8515625" style="0" hidden="1" customWidth="1"/>
    <col min="10" max="10" width="8.00390625" style="0" hidden="1" customWidth="1"/>
    <col min="11" max="11" width="8.8515625" style="0" hidden="1" customWidth="1"/>
    <col min="12" max="13" width="0" style="0" hidden="1" customWidth="1"/>
    <col min="14" max="14" width="9.8515625" style="0" hidden="1" customWidth="1"/>
    <col min="15" max="15" width="7.8515625" style="0" hidden="1" customWidth="1"/>
    <col min="16" max="16" width="10.00390625" style="0" hidden="1" customWidth="1"/>
    <col min="17" max="18" width="8.8515625" style="0" hidden="1" customWidth="1"/>
    <col min="19" max="20" width="12.57421875" style="50" hidden="1" customWidth="1"/>
    <col min="21" max="21" width="12.00390625" style="48" hidden="1" customWidth="1"/>
    <col min="22" max="26" width="0" style="0" hidden="1" customWidth="1"/>
  </cols>
  <sheetData>
    <row r="1" spans="2:18" ht="27.75" customHeight="1">
      <c r="B1" s="1" t="s">
        <v>20</v>
      </c>
      <c r="D1" s="88" t="s">
        <v>74</v>
      </c>
      <c r="E1" s="25"/>
      <c r="F1" s="123" t="str">
        <f>'Data Entry'!J5</f>
        <v>All Minorities</v>
      </c>
      <c r="G1" s="124"/>
      <c r="H1" s="124"/>
      <c r="I1" s="124"/>
      <c r="J1" s="124"/>
      <c r="K1" s="14"/>
      <c r="N1" s="11"/>
      <c r="O1" s="11"/>
      <c r="P1" s="11"/>
      <c r="Q1" s="11"/>
      <c r="R1" s="11"/>
    </row>
    <row r="2" spans="2:18" ht="13.5">
      <c r="B2" s="7" t="str">
        <f>'Data Entry'!A2</f>
        <v>State :  Montana                        </v>
      </c>
      <c r="C2" s="2"/>
      <c r="D2" s="2"/>
      <c r="E2" s="2"/>
      <c r="F2" s="2"/>
      <c r="G2" s="4"/>
      <c r="H2" s="4"/>
      <c r="I2" s="4"/>
      <c r="N2" s="11"/>
      <c r="O2" s="11"/>
      <c r="P2" s="11"/>
      <c r="Q2" s="11"/>
      <c r="R2" s="11"/>
    </row>
    <row r="3" spans="2:21" ht="13.5">
      <c r="B3" s="7" t="str">
        <f>'Data Entry'!A3</f>
        <v>County: Cascade</v>
      </c>
      <c r="C3" s="89"/>
      <c r="D3" s="89"/>
      <c r="E3" s="89"/>
      <c r="F3" s="89"/>
      <c r="G3" s="8"/>
      <c r="H3" s="8"/>
      <c r="I3" s="8"/>
      <c r="J3" s="8"/>
      <c r="K3" s="8"/>
      <c r="N3" s="126" t="s">
        <v>59</v>
      </c>
      <c r="O3" s="124"/>
      <c r="P3" s="124"/>
      <c r="Q3" s="124"/>
      <c r="R3" s="124"/>
      <c r="S3" s="124"/>
      <c r="T3" s="124"/>
      <c r="U3" s="124"/>
    </row>
    <row r="4" spans="2:21" ht="8.25" customHeight="1">
      <c r="B4" s="7"/>
      <c r="C4" s="92"/>
      <c r="D4" s="92"/>
      <c r="E4" s="92"/>
      <c r="F4" s="92"/>
      <c r="G4" s="9"/>
      <c r="H4" s="9"/>
      <c r="I4" s="9"/>
      <c r="J4" s="10"/>
      <c r="K4" s="10"/>
      <c r="N4" s="124"/>
      <c r="O4" s="124"/>
      <c r="P4" s="124"/>
      <c r="Q4" s="124"/>
      <c r="R4" s="124"/>
      <c r="S4" s="124"/>
      <c r="T4" s="124"/>
      <c r="U4" s="124"/>
    </row>
    <row r="5" spans="2:21" ht="66.75" customHeight="1" thickBot="1">
      <c r="B5" s="34" t="s">
        <v>21</v>
      </c>
      <c r="C5" s="62" t="s">
        <v>22</v>
      </c>
      <c r="D5" s="63" t="s">
        <v>23</v>
      </c>
      <c r="E5" s="62" t="s">
        <v>24</v>
      </c>
      <c r="F5" s="62" t="s">
        <v>25</v>
      </c>
      <c r="G5" s="85" t="s">
        <v>50</v>
      </c>
      <c r="H5" s="82"/>
      <c r="I5" s="82"/>
      <c r="J5" s="64" t="s">
        <v>72</v>
      </c>
      <c r="K5" s="71" t="s">
        <v>73</v>
      </c>
      <c r="L5" s="14" t="s">
        <v>75</v>
      </c>
      <c r="M5" s="14" t="s">
        <v>96</v>
      </c>
      <c r="N5" s="12" t="s">
        <v>26</v>
      </c>
      <c r="O5" s="11" t="s">
        <v>27</v>
      </c>
      <c r="P5" s="11" t="s">
        <v>28</v>
      </c>
      <c r="Q5" s="11" t="s">
        <v>29</v>
      </c>
      <c r="R5" s="11" t="s">
        <v>30</v>
      </c>
      <c r="S5" s="51" t="s">
        <v>31</v>
      </c>
      <c r="T5" s="51" t="s">
        <v>32</v>
      </c>
      <c r="U5" s="49" t="s">
        <v>33</v>
      </c>
    </row>
    <row r="6" spans="2:21" ht="20.25" customHeight="1" thickBot="1">
      <c r="B6" s="81" t="str">
        <f>'Data Entry'!A6</f>
        <v>1. Population at risk (age 10  through 17 ) </v>
      </c>
      <c r="C6" s="30">
        <f>'Data Entry'!C6</f>
        <v>15248</v>
      </c>
      <c r="D6" s="79"/>
      <c r="E6" s="30">
        <f>'Data Entry'!J6</f>
        <v>3323</v>
      </c>
      <c r="F6" s="79"/>
      <c r="G6" s="97"/>
      <c r="H6" s="93"/>
      <c r="I6" s="83"/>
      <c r="J6" s="78"/>
      <c r="K6" s="72"/>
      <c r="L6">
        <f>IF(('Data Entry'!J6&gt;('Data Entry'!B6/100)),1,100)</f>
        <v>1</v>
      </c>
      <c r="M6" t="s">
        <v>82</v>
      </c>
      <c r="N6" s="11"/>
      <c r="O6" s="11"/>
      <c r="P6" s="11"/>
      <c r="Q6" s="11"/>
      <c r="R6" s="11"/>
      <c r="S6" s="51"/>
      <c r="T6" s="51"/>
      <c r="U6" s="49"/>
    </row>
    <row r="7" spans="2:21" ht="18" customHeight="1" thickBot="1">
      <c r="B7" s="81" t="str">
        <f>'Data Entry'!A7</f>
        <v>2. Juvenile Arrests </v>
      </c>
      <c r="C7" s="30">
        <f>'Data Entry'!C7</f>
        <v>325</v>
      </c>
      <c r="D7" s="80">
        <f>IF((AND(C66&gt;0,C7&gt;0)),(C7/C66),0)</f>
        <v>21.31427072402938</v>
      </c>
      <c r="E7" s="30">
        <f>'Data Entry'!J7</f>
        <v>247</v>
      </c>
      <c r="F7" s="80">
        <f>IF((AND($E$7&gt;0,$D$66&gt;0)),($E$7/$D$66),0)</f>
        <v>74.33042431537767</v>
      </c>
      <c r="G7" s="96">
        <f aca="true" t="shared" si="0" ref="G7:G15">IF(L$6=100,"*",IF(M7=FALSE,"--",IF(K7=20,"**",($F7/$D7))))</f>
        <v>3.487354799879627</v>
      </c>
      <c r="H7" s="94"/>
      <c r="I7" s="84"/>
      <c r="J7" s="75">
        <f>IF((ABS($U7)&gt;Defaults!D$7),1,2)</f>
        <v>1</v>
      </c>
      <c r="K7" s="29">
        <f>IF((AND(N7&gt;Defaults!B$12,(N7+O7)&gt;Defaults!B$13,P7&gt;Defaults!B$12,(P7+Q7)&gt;Defaults!B$13)),1,20)</f>
        <v>1</v>
      </c>
      <c r="L7">
        <f aca="true" t="shared" si="1" ref="L7:L15">(J7*K7+L$6)-1</f>
        <v>1</v>
      </c>
      <c r="M7" t="b">
        <f aca="true" t="shared" si="2" ref="M7:M15">(ISNUMBER(J7))</f>
        <v>1</v>
      </c>
      <c r="N7" s="13">
        <f aca="true" t="shared" si="3" ref="N7:N15">E7</f>
        <v>247</v>
      </c>
      <c r="O7" s="13">
        <f>E6-E7</f>
        <v>3076</v>
      </c>
      <c r="P7" s="13">
        <f aca="true" t="shared" si="4" ref="P7:P15">C7</f>
        <v>325</v>
      </c>
      <c r="Q7" s="13">
        <f>C6-C7</f>
        <v>14923</v>
      </c>
      <c r="R7" s="13">
        <f aca="true" t="shared" si="5" ref="R7:R15">SUM(N7:Q7)</f>
        <v>18571</v>
      </c>
      <c r="S7" s="51">
        <f aca="true" t="shared" si="6" ref="S7:S15">R7*((((N7*Q7)-(O7*P7))^2))</f>
        <v>1.3401029730115674E+17</v>
      </c>
      <c r="T7" s="51">
        <f aca="true" t="shared" si="7" ref="T7:T15">(N7+O7)*(P7+Q7)*(N7+P7)*(O7+Q7)</f>
        <v>521660112056512</v>
      </c>
      <c r="U7" s="49">
        <f aca="true" t="shared" si="8" ref="U7:U15">IF((S7&gt;0),S7/T7,"- -")</f>
        <v>256.8919766030324</v>
      </c>
    </row>
    <row r="8" spans="2:21" ht="18" customHeight="1" thickBot="1">
      <c r="B8" s="81" t="str">
        <f>'Data Entry'!A8</f>
        <v>3. Refer to Juvenile Court</v>
      </c>
      <c r="C8" s="30">
        <f>'Data Entry'!C8</f>
        <v>325</v>
      </c>
      <c r="D8" s="80">
        <f>IF((AND(C67&gt;0,C8&gt;0)),(C8/C67),0)</f>
        <v>100</v>
      </c>
      <c r="E8" s="30">
        <f>'Data Entry'!J8</f>
        <v>247</v>
      </c>
      <c r="F8" s="80">
        <f>IF((AND($E$8&gt;0,$D$67&gt;0)),($E8/$D67),0)</f>
        <v>99.99999999999999</v>
      </c>
      <c r="G8" s="96">
        <f t="shared" si="0"/>
        <v>0.9999999999999999</v>
      </c>
      <c r="H8" s="94"/>
      <c r="I8" s="84"/>
      <c r="J8" s="75">
        <f>IF((ABS($U8)&gt;Defaults!D$7),1,2)</f>
        <v>2</v>
      </c>
      <c r="K8" s="29">
        <f>IF((AND(N8&gt;Defaults!B$12,(N8+O8)&gt;Defaults!B$13,P8&gt;Defaults!B$12,(P8+Q8)&gt;Defaults!B$13)),1,20)</f>
        <v>1</v>
      </c>
      <c r="L8">
        <f t="shared" si="1"/>
        <v>2</v>
      </c>
      <c r="M8" t="b">
        <f t="shared" si="2"/>
        <v>1</v>
      </c>
      <c r="N8" s="13">
        <f t="shared" si="3"/>
        <v>247</v>
      </c>
      <c r="O8" s="13">
        <f>((D67*L67)-E8)+0.05</f>
        <v>0.050000000000028424</v>
      </c>
      <c r="P8" s="13">
        <f t="shared" si="4"/>
        <v>325</v>
      </c>
      <c r="Q8" s="13">
        <f>(C$67*L67)-C8</f>
        <v>0</v>
      </c>
      <c r="R8" s="13">
        <f t="shared" si="5"/>
        <v>572.0500000000001</v>
      </c>
      <c r="S8" s="51">
        <f t="shared" si="6"/>
        <v>151056.95312517174</v>
      </c>
      <c r="T8" s="51">
        <f t="shared" si="7"/>
        <v>2296329.7500013057</v>
      </c>
      <c r="U8" s="49">
        <f t="shared" si="8"/>
        <v>0.06578190833659053</v>
      </c>
    </row>
    <row r="9" spans="2:21" ht="18" customHeight="1" thickBot="1">
      <c r="B9" s="81" t="str">
        <f>'Data Entry'!A9</f>
        <v>4. Cases Diverted </v>
      </c>
      <c r="C9" s="30">
        <f>'Data Entry'!C9</f>
        <v>212</v>
      </c>
      <c r="D9" s="80">
        <f>IF((AND(C68&gt;0,C9&gt;0)),((C9/C68)),0)</f>
        <v>65.23076923076923</v>
      </c>
      <c r="E9" s="30">
        <f>'Data Entry'!J9</f>
        <v>134</v>
      </c>
      <c r="F9" s="80">
        <f>IF((AND($E$9&gt;0,$D$68&gt;0)),(($E$9/$D$68)),0)</f>
        <v>54.25101214574898</v>
      </c>
      <c r="G9" s="96">
        <f t="shared" si="0"/>
        <v>0.8316782522343594</v>
      </c>
      <c r="H9" s="94"/>
      <c r="I9" s="84"/>
      <c r="J9" s="75">
        <f>IF((ABS($U9)&gt;Defaults!D$7),1,2)</f>
        <v>1</v>
      </c>
      <c r="K9" s="29">
        <f>IF((AND(N9&gt;Defaults!B$12,(N9+O9)&gt;Defaults!B$13,P9&gt;Defaults!B$12,(P9+Q9)&gt;Defaults!B$13)),1,20)</f>
        <v>1</v>
      </c>
      <c r="L9">
        <f t="shared" si="1"/>
        <v>1</v>
      </c>
      <c r="M9" t="b">
        <f t="shared" si="2"/>
        <v>1</v>
      </c>
      <c r="N9" s="13">
        <f t="shared" si="3"/>
        <v>134</v>
      </c>
      <c r="O9" s="13">
        <f>(D$68*L68)-E9</f>
        <v>113.00000000000003</v>
      </c>
      <c r="P9" s="13">
        <f t="shared" si="4"/>
        <v>212</v>
      </c>
      <c r="Q9" s="13">
        <f>(C$68*L68)-C9</f>
        <v>113</v>
      </c>
      <c r="R9" s="13">
        <f t="shared" si="5"/>
        <v>572</v>
      </c>
      <c r="S9" s="51">
        <f t="shared" si="6"/>
        <v>44436732912.00008</v>
      </c>
      <c r="T9" s="51">
        <f t="shared" si="7"/>
        <v>6277183900.000002</v>
      </c>
      <c r="U9" s="49">
        <f t="shared" si="8"/>
        <v>7.079087313659882</v>
      </c>
    </row>
    <row r="10" spans="2:21" ht="18" customHeight="1" thickBot="1">
      <c r="B10" s="81" t="str">
        <f>'Data Entry'!A10</f>
        <v>5. Cases Involving Secure Detention</v>
      </c>
      <c r="C10" s="30">
        <f>'Data Entry'!C10</f>
        <v>216</v>
      </c>
      <c r="D10" s="80">
        <f>IF(((AND(C68&gt;0,C10&gt;0))),(C10/(C68)),0)</f>
        <v>66.46153846153847</v>
      </c>
      <c r="E10" s="30">
        <f>'Data Entry'!J10</f>
        <v>186</v>
      </c>
      <c r="F10" s="80">
        <f>IF(((AND($E$10&gt;0,$D$68&gt;0))),($E$10/($D$68)),0)</f>
        <v>75.30364372469636</v>
      </c>
      <c r="G10" s="96">
        <f t="shared" si="0"/>
        <v>1.1330409356725146</v>
      </c>
      <c r="H10" s="94"/>
      <c r="I10" s="84"/>
      <c r="J10" s="75">
        <f>IF((ABS($U10)&gt;Defaults!D$7),1,2)</f>
        <v>1</v>
      </c>
      <c r="K10" s="29">
        <f>IF((AND(N10&gt;Defaults!B$12,(N10+O10)&gt;Defaults!B$13,P10&gt;Defaults!B$12,(P10+Q10)&gt;Defaults!B$13)),1,20)</f>
        <v>1</v>
      </c>
      <c r="L10">
        <f t="shared" si="1"/>
        <v>1</v>
      </c>
      <c r="M10" t="b">
        <f t="shared" si="2"/>
        <v>1</v>
      </c>
      <c r="N10" s="13">
        <f t="shared" si="3"/>
        <v>186</v>
      </c>
      <c r="O10" s="13">
        <f>(D$68*L68)-E10</f>
        <v>61.00000000000003</v>
      </c>
      <c r="P10" s="13">
        <f t="shared" si="4"/>
        <v>216</v>
      </c>
      <c r="Q10" s="13">
        <f>(C$68*L68)-C10</f>
        <v>109</v>
      </c>
      <c r="R10" s="13">
        <f t="shared" si="5"/>
        <v>572</v>
      </c>
      <c r="S10" s="51">
        <f t="shared" si="6"/>
        <v>28818277487.999958</v>
      </c>
      <c r="T10" s="51">
        <f t="shared" si="7"/>
        <v>5485993500.000002</v>
      </c>
      <c r="U10" s="49">
        <f t="shared" si="8"/>
        <v>5.25306446097684</v>
      </c>
    </row>
    <row r="11" spans="2:21" ht="18" customHeight="1" thickBot="1">
      <c r="B11" s="81" t="str">
        <f>'Data Entry'!A11</f>
        <v>6. Cases Petitioned (Charge Filed)</v>
      </c>
      <c r="C11" s="30">
        <f>'Data Entry'!C11</f>
        <v>84</v>
      </c>
      <c r="D11" s="80">
        <f>IF(((AND(C68&gt;0,C11&gt;0))),(C11/(C68)),0)</f>
        <v>25.846153846153847</v>
      </c>
      <c r="E11" s="30">
        <f>'Data Entry'!J11</f>
        <v>68</v>
      </c>
      <c r="F11" s="80">
        <f>IF(((AND($E$11&gt;0,$D$68&gt;0))),($E$11/($D$68)),0)</f>
        <v>27.530364372469634</v>
      </c>
      <c r="G11" s="96">
        <f t="shared" si="0"/>
        <v>1.0651629072681703</v>
      </c>
      <c r="H11" s="94"/>
      <c r="I11" s="84"/>
      <c r="J11" s="75">
        <f>IF((ABS($U11)&gt;Defaults!D$7),1,2)</f>
        <v>2</v>
      </c>
      <c r="K11" s="29">
        <f>IF((AND(N11&gt;Defaults!B$12,(N11+O11)&gt;Defaults!B$13,P11&gt;Defaults!B$12,(P11+Q11)&gt;Defaults!B$13)),1,20)</f>
        <v>1</v>
      </c>
      <c r="L11">
        <f t="shared" si="1"/>
        <v>2</v>
      </c>
      <c r="M11" t="b">
        <f t="shared" si="2"/>
        <v>1</v>
      </c>
      <c r="N11" s="13">
        <f t="shared" si="3"/>
        <v>68</v>
      </c>
      <c r="O11" s="13">
        <f>(D$68*L68)-E11</f>
        <v>179.00000000000003</v>
      </c>
      <c r="P11" s="13">
        <f t="shared" si="4"/>
        <v>84</v>
      </c>
      <c r="Q11" s="13">
        <f>(C$68*L68)-C11</f>
        <v>241</v>
      </c>
      <c r="R11" s="13">
        <f t="shared" si="5"/>
        <v>572</v>
      </c>
      <c r="S11" s="51">
        <f t="shared" si="6"/>
        <v>1045561087.9999973</v>
      </c>
      <c r="T11" s="51">
        <f t="shared" si="7"/>
        <v>5124756000.000001</v>
      </c>
      <c r="U11" s="49">
        <f t="shared" si="8"/>
        <v>0.2040216330299427</v>
      </c>
    </row>
    <row r="12" spans="2:21" ht="18" customHeight="1" thickBot="1">
      <c r="B12" s="81" t="str">
        <f>'Data Entry'!A12</f>
        <v>7. Cases Resulting in Delinquent Findings</v>
      </c>
      <c r="C12" s="30">
        <f>'Data Entry'!C12</f>
        <v>84</v>
      </c>
      <c r="D12" s="80">
        <f>IF(((AND(C69&gt;0,C12&gt;0))),(C12/(C69)),0)</f>
        <v>100</v>
      </c>
      <c r="E12" s="30">
        <f>'Data Entry'!J12</f>
        <v>68</v>
      </c>
      <c r="F12" s="80">
        <f>IF(((AND($D$69&gt;0,$E$12&gt;0))),(E12/(D69)),0)</f>
        <v>99.99999999999999</v>
      </c>
      <c r="G12" s="96" t="str">
        <f t="shared" si="0"/>
        <v>--</v>
      </c>
      <c r="H12" s="94"/>
      <c r="I12" s="84"/>
      <c r="J12" s="75" t="e">
        <f>IF((ABS($U12)&gt;Defaults!D$7),1,2)</f>
        <v>#VALUE!</v>
      </c>
      <c r="K12" s="29">
        <f>IF((AND(N12&gt;Defaults!B$12,(N12+O12)&gt;Defaults!B$13,P12&gt;Defaults!B$12,(P12+Q12)&gt;Defaults!B$13)),1,20)</f>
        <v>1</v>
      </c>
      <c r="L12" t="e">
        <f t="shared" si="1"/>
        <v>#VALUE!</v>
      </c>
      <c r="M12" t="b">
        <f t="shared" si="2"/>
        <v>0</v>
      </c>
      <c r="N12" s="13">
        <f t="shared" si="3"/>
        <v>68</v>
      </c>
      <c r="O12" s="13">
        <f>(D69*L69)-E12</f>
        <v>0</v>
      </c>
      <c r="P12" s="13">
        <f t="shared" si="4"/>
        <v>84</v>
      </c>
      <c r="Q12" s="13">
        <f>(C69*L69)-C12</f>
        <v>0</v>
      </c>
      <c r="R12" s="13">
        <f t="shared" si="5"/>
        <v>152</v>
      </c>
      <c r="S12" s="51">
        <f t="shared" si="6"/>
        <v>0</v>
      </c>
      <c r="T12" s="51">
        <f t="shared" si="7"/>
        <v>0</v>
      </c>
      <c r="U12" s="49" t="str">
        <f t="shared" si="8"/>
        <v>- -</v>
      </c>
    </row>
    <row r="13" spans="2:21" ht="18" customHeight="1" thickBot="1">
      <c r="B13" s="81" t="str">
        <f>'Data Entry'!A13</f>
        <v>8. Cases resulting in Probation Placement</v>
      </c>
      <c r="C13" s="30">
        <f>'Data Entry'!C13</f>
        <v>84</v>
      </c>
      <c r="D13" s="80">
        <f>IF(((AND(C70&gt;0,C13&gt;0))),(C13/(C70)),0)</f>
        <v>100</v>
      </c>
      <c r="E13" s="30">
        <f>'Data Entry'!J13</f>
        <v>68</v>
      </c>
      <c r="F13" s="80">
        <f>IF(((AND($D$70&gt;0,$E$13&gt;0))),($E$13/($D$70)),0)</f>
        <v>99.99999999999999</v>
      </c>
      <c r="G13" s="96" t="str">
        <f t="shared" si="0"/>
        <v>--</v>
      </c>
      <c r="H13" s="94"/>
      <c r="I13" s="84"/>
      <c r="J13" s="75" t="e">
        <f>IF((ABS($U13)&gt;Defaults!D$7),1,2)</f>
        <v>#VALUE!</v>
      </c>
      <c r="K13" s="29">
        <f>IF((AND(N13&gt;Defaults!B$12,(N13+O13)&gt;Defaults!B$13,P13&gt;Defaults!B$12,(P13+Q13)&gt;Defaults!B$13)),1,20)</f>
        <v>1</v>
      </c>
      <c r="L13" t="e">
        <f t="shared" si="1"/>
        <v>#VALUE!</v>
      </c>
      <c r="M13" t="b">
        <f t="shared" si="2"/>
        <v>0</v>
      </c>
      <c r="N13" s="13">
        <f t="shared" si="3"/>
        <v>68</v>
      </c>
      <c r="O13" s="13">
        <f>(D70*L70)-E13</f>
        <v>0</v>
      </c>
      <c r="P13" s="13">
        <f t="shared" si="4"/>
        <v>84</v>
      </c>
      <c r="Q13" s="13">
        <f>(C70*L70)-C13</f>
        <v>0</v>
      </c>
      <c r="R13" s="13">
        <f t="shared" si="5"/>
        <v>152</v>
      </c>
      <c r="S13" s="51">
        <f t="shared" si="6"/>
        <v>0</v>
      </c>
      <c r="T13" s="51">
        <f t="shared" si="7"/>
        <v>0</v>
      </c>
      <c r="U13" s="49" t="str">
        <f t="shared" si="8"/>
        <v>- -</v>
      </c>
    </row>
    <row r="14" spans="2:21" ht="27.75" thickBot="1">
      <c r="B14" s="81" t="str">
        <f>'Data Entry'!A14</f>
        <v>9. Cases Resulting in Confinement in Secure    Juvenile Correctional Facilities </v>
      </c>
      <c r="C14" s="30">
        <f>'Data Entry'!C14</f>
        <v>12</v>
      </c>
      <c r="D14" s="80">
        <f>IF(((AND(C70&gt;0,C14&gt;0))),((C14/(C70))),0)</f>
        <v>14.285714285714286</v>
      </c>
      <c r="E14" s="30">
        <f>'Data Entry'!J14</f>
        <v>10</v>
      </c>
      <c r="F14" s="80">
        <f>IF(((AND($D$70&gt;0,$E$14&gt;0))),(($E$14/($D$70))),0)</f>
        <v>14.705882352941176</v>
      </c>
      <c r="G14" s="96">
        <f t="shared" si="0"/>
        <v>1.0294117647058822</v>
      </c>
      <c r="H14" s="94"/>
      <c r="I14" s="84"/>
      <c r="J14" s="75">
        <f>IF((ABS($U14)&gt;Defaults!D$7),1,2)</f>
        <v>2</v>
      </c>
      <c r="K14" s="29">
        <f>IF((AND(N14&gt;Defaults!B$12,(N14+O14)&gt;Defaults!B$13,P14&gt;Defaults!B$12,(P14+Q14)&gt;Defaults!B$13)),1,20)</f>
        <v>1</v>
      </c>
      <c r="L14">
        <f t="shared" si="1"/>
        <v>2</v>
      </c>
      <c r="M14" t="b">
        <f t="shared" si="2"/>
        <v>1</v>
      </c>
      <c r="N14" s="13">
        <f t="shared" si="3"/>
        <v>10</v>
      </c>
      <c r="O14" s="13">
        <f>(D70*L70)-E14</f>
        <v>58</v>
      </c>
      <c r="P14" s="13">
        <f t="shared" si="4"/>
        <v>12</v>
      </c>
      <c r="Q14" s="13">
        <f>(C70*L70)-C14</f>
        <v>72</v>
      </c>
      <c r="R14" s="13">
        <f t="shared" si="5"/>
        <v>152</v>
      </c>
      <c r="S14" s="51">
        <f t="shared" si="6"/>
        <v>87552</v>
      </c>
      <c r="T14" s="51">
        <f t="shared" si="7"/>
        <v>16336320</v>
      </c>
      <c r="U14" s="49">
        <f t="shared" si="8"/>
        <v>0.005359346535817124</v>
      </c>
    </row>
    <row r="15" spans="2:21" ht="14.25" thickBot="1">
      <c r="B15" s="81" t="str">
        <f>'Data Entry'!A15</f>
        <v>10. Cases Transferred to Adult Court </v>
      </c>
      <c r="C15" s="30">
        <f>'Data Entry'!C15</f>
        <v>1</v>
      </c>
      <c r="D15" s="80">
        <f>IF(((AND(C69&gt;0,C15&gt;0))),((C15/(C69))),0)</f>
        <v>1.1904761904761905</v>
      </c>
      <c r="E15" s="30">
        <f>'Data Entry'!J15</f>
        <v>3</v>
      </c>
      <c r="F15" s="80">
        <f>IF(((AND($D$69&gt;0,$E$15&gt;0))),(($E$15/($D$69))),0)</f>
        <v>4.411764705882352</v>
      </c>
      <c r="G15" s="96" t="str">
        <f t="shared" si="0"/>
        <v>**</v>
      </c>
      <c r="H15" s="94"/>
      <c r="I15" s="84"/>
      <c r="J15" s="75">
        <f>IF((ABS($U15)&gt;Defaults!D$7),1,2)</f>
        <v>2</v>
      </c>
      <c r="K15" s="29">
        <f>IF((AND(N15&gt;Defaults!B$12,(N15+O15)&gt;Defaults!B$13,P15&gt;Defaults!B$12,(P15+Q15)&gt;Defaults!B$13)),1,20)</f>
        <v>20</v>
      </c>
      <c r="L15">
        <f t="shared" si="1"/>
        <v>40</v>
      </c>
      <c r="M15" t="b">
        <f t="shared" si="2"/>
        <v>1</v>
      </c>
      <c r="N15" s="13">
        <f t="shared" si="3"/>
        <v>3</v>
      </c>
      <c r="O15" s="13">
        <f>(D69*L69)-E15</f>
        <v>65</v>
      </c>
      <c r="P15" s="13">
        <f t="shared" si="4"/>
        <v>1</v>
      </c>
      <c r="Q15" s="13">
        <f>(C69*L69)-C15</f>
        <v>83</v>
      </c>
      <c r="R15" s="13">
        <f t="shared" si="5"/>
        <v>152</v>
      </c>
      <c r="S15" s="51">
        <f t="shared" si="6"/>
        <v>5146112</v>
      </c>
      <c r="T15" s="51">
        <f t="shared" si="7"/>
        <v>3381504</v>
      </c>
      <c r="U15" s="49">
        <f t="shared" si="8"/>
        <v>1.5218411688999924</v>
      </c>
    </row>
    <row r="16" spans="2:21" ht="12" customHeight="1">
      <c r="B16" s="41" t="s">
        <v>81</v>
      </c>
      <c r="C16" s="3"/>
      <c r="D16" s="3"/>
      <c r="E16" s="3"/>
      <c r="F16" s="3"/>
      <c r="G16" s="3"/>
      <c r="H16" s="3"/>
      <c r="I16" s="3"/>
      <c r="N16" s="11"/>
      <c r="O16" s="11"/>
      <c r="P16" s="11"/>
      <c r="Q16" s="11"/>
      <c r="R16" s="11"/>
      <c r="S16" s="51"/>
      <c r="T16" s="51"/>
      <c r="U16" s="49"/>
    </row>
    <row r="17" spans="2:21" ht="26.25" customHeight="1">
      <c r="B17" s="35"/>
      <c r="C17" s="35"/>
      <c r="D17" s="35"/>
      <c r="E17" s="35"/>
      <c r="F17" s="35"/>
      <c r="G17" s="35"/>
      <c r="H17" s="35"/>
      <c r="I17" s="35"/>
      <c r="K17" t="s">
        <v>86</v>
      </c>
      <c r="L17" t="s">
        <v>76</v>
      </c>
      <c r="N17" s="11"/>
      <c r="O17" s="11"/>
      <c r="P17" s="11"/>
      <c r="Q17" s="11"/>
      <c r="R17" s="11"/>
      <c r="S17" s="51"/>
      <c r="T17" s="51"/>
      <c r="U17" s="49"/>
    </row>
    <row r="18" ht="13.5">
      <c r="B18" t="s">
        <v>88</v>
      </c>
    </row>
    <row r="19" spans="2:4" ht="13.5">
      <c r="B19" t="s">
        <v>89</v>
      </c>
      <c r="D19" s="100" t="s">
        <v>92</v>
      </c>
    </row>
    <row r="20" spans="2:4" ht="13.5">
      <c r="B20" t="s">
        <v>90</v>
      </c>
      <c r="D20" t="s">
        <v>91</v>
      </c>
    </row>
    <row r="21" spans="2:4" ht="13.5">
      <c r="B21" t="s">
        <v>93</v>
      </c>
      <c r="D21" t="s">
        <v>83</v>
      </c>
    </row>
    <row r="22" spans="2:4" ht="13.5">
      <c r="B22" t="s">
        <v>94</v>
      </c>
      <c r="D22" t="s">
        <v>84</v>
      </c>
    </row>
    <row r="23" spans="2:4" ht="13.5">
      <c r="B23" t="s">
        <v>95</v>
      </c>
      <c r="D23" s="101" t="s">
        <v>85</v>
      </c>
    </row>
    <row r="24" spans="2:21" ht="26.25" customHeight="1">
      <c r="B24" s="35"/>
      <c r="C24" s="35"/>
      <c r="D24" s="35"/>
      <c r="E24" s="35"/>
      <c r="F24" s="35"/>
      <c r="G24" s="35"/>
      <c r="H24" s="35"/>
      <c r="I24" s="35"/>
      <c r="N24" s="11"/>
      <c r="O24" s="11"/>
      <c r="P24" s="11"/>
      <c r="Q24" s="11"/>
      <c r="R24" s="11"/>
      <c r="S24" s="51"/>
      <c r="T24" s="51"/>
      <c r="U24" s="49"/>
    </row>
    <row r="25" spans="2:18" ht="14.25">
      <c r="B25" s="102" t="s">
        <v>34</v>
      </c>
      <c r="K25" t="s">
        <v>87</v>
      </c>
      <c r="L25" t="s">
        <v>77</v>
      </c>
      <c r="N25" s="11"/>
      <c r="O25" s="11" t="b">
        <f>ISBLANK(N12)</f>
        <v>0</v>
      </c>
      <c r="P25" s="11"/>
      <c r="Q25" s="11"/>
      <c r="R25" s="11"/>
    </row>
    <row r="26" spans="2:18" ht="15" customHeight="1">
      <c r="B26" s="26" t="s">
        <v>35</v>
      </c>
      <c r="C26" s="6"/>
      <c r="D26" s="6"/>
      <c r="E26" s="6"/>
      <c r="F26" s="26" t="s">
        <v>36</v>
      </c>
      <c r="G26" s="26"/>
      <c r="H26" s="26"/>
      <c r="I26" s="26"/>
      <c r="J26" s="26"/>
      <c r="K26" s="98" t="s">
        <v>85</v>
      </c>
      <c r="L26" s="99" t="s">
        <v>78</v>
      </c>
      <c r="M26" s="99"/>
      <c r="R26" s="37"/>
    </row>
    <row r="27" spans="2:18" ht="15" customHeight="1">
      <c r="B27" s="43" t="s">
        <v>39</v>
      </c>
      <c r="C27" s="43"/>
      <c r="D27" s="43"/>
      <c r="E27" s="43"/>
      <c r="F27" s="43" t="str">
        <f>B66</f>
        <v>per 1000 youth</v>
      </c>
      <c r="G27" s="43"/>
      <c r="H27" s="43"/>
      <c r="I27" s="43"/>
      <c r="J27" s="43">
        <f>F66</f>
        <v>0</v>
      </c>
      <c r="K27" s="43" t="s">
        <v>84</v>
      </c>
      <c r="L27" s="21" t="s">
        <v>79</v>
      </c>
      <c r="M27" s="6"/>
      <c r="R27" s="37"/>
    </row>
    <row r="28" spans="2:18" ht="15" customHeight="1">
      <c r="B28" s="43" t="s">
        <v>71</v>
      </c>
      <c r="C28" s="43"/>
      <c r="D28" s="43"/>
      <c r="E28" s="43"/>
      <c r="F28" s="42" t="str">
        <f>B67</f>
        <v>per 100 arrests</v>
      </c>
      <c r="G28" s="42"/>
      <c r="H28" s="42"/>
      <c r="I28" s="42"/>
      <c r="J28" s="42"/>
      <c r="K28" s="42" t="s">
        <v>83</v>
      </c>
      <c r="L28" s="5" t="s">
        <v>80</v>
      </c>
      <c r="M28" s="6"/>
      <c r="R28" s="37"/>
    </row>
    <row r="29" spans="2:18" ht="15" customHeight="1">
      <c r="B29" s="42" t="s">
        <v>42</v>
      </c>
      <c r="C29" s="42"/>
      <c r="D29" s="42"/>
      <c r="E29" s="42"/>
      <c r="F29" s="42" t="str">
        <f>B68</f>
        <v>per 100 referrals</v>
      </c>
      <c r="G29" s="42"/>
      <c r="H29" s="42"/>
      <c r="I29" s="42"/>
      <c r="J29" s="42"/>
      <c r="K29" s="42"/>
      <c r="L29" s="5"/>
      <c r="M29" s="6"/>
      <c r="R29" s="37"/>
    </row>
    <row r="30" spans="2:18" ht="15" customHeight="1">
      <c r="B30" s="42" t="s">
        <v>52</v>
      </c>
      <c r="C30" s="42"/>
      <c r="D30" s="42"/>
      <c r="E30" s="42"/>
      <c r="F30" s="42" t="str">
        <f>B68</f>
        <v>per 100 referrals</v>
      </c>
      <c r="G30" s="42"/>
      <c r="H30" s="42"/>
      <c r="I30" s="42"/>
      <c r="J30" s="42"/>
      <c r="K30" s="42"/>
      <c r="L30" s="5"/>
      <c r="M30" s="6"/>
      <c r="N30" t="b">
        <f>ISNUMBER(J14)</f>
        <v>1</v>
      </c>
      <c r="R30" s="37"/>
    </row>
    <row r="31" spans="2:18" ht="15" customHeight="1">
      <c r="B31" s="42" t="s">
        <v>45</v>
      </c>
      <c r="C31" s="42"/>
      <c r="D31" s="42"/>
      <c r="E31" s="42"/>
      <c r="F31" s="42" t="str">
        <f>B68</f>
        <v>per 100 referrals</v>
      </c>
      <c r="G31" s="42"/>
      <c r="H31" s="42"/>
      <c r="I31" s="42"/>
      <c r="J31" s="42"/>
      <c r="K31" s="42"/>
      <c r="L31" s="5"/>
      <c r="M31" s="6"/>
      <c r="R31" s="37"/>
    </row>
    <row r="32" spans="2:18" ht="15" customHeight="1">
      <c r="B32" s="42" t="s">
        <v>46</v>
      </c>
      <c r="C32" s="42"/>
      <c r="D32" s="42"/>
      <c r="E32" s="42"/>
      <c r="F32" s="42" t="str">
        <f>B69</f>
        <v>per 100 youth petitioned</v>
      </c>
      <c r="G32" s="42"/>
      <c r="H32" s="42"/>
      <c r="I32" s="42"/>
      <c r="J32" s="42"/>
      <c r="K32" s="42"/>
      <c r="L32" s="5"/>
      <c r="M32" s="6"/>
      <c r="R32" s="37"/>
    </row>
    <row r="33" spans="2:18" ht="15" customHeight="1">
      <c r="B33" s="42" t="s">
        <v>47</v>
      </c>
      <c r="C33" s="42"/>
      <c r="D33" s="42"/>
      <c r="E33" s="42"/>
      <c r="F33" s="42" t="str">
        <f>B70</f>
        <v>per 100 youth found delinquent</v>
      </c>
      <c r="G33" s="42"/>
      <c r="H33" s="42"/>
      <c r="I33" s="42"/>
      <c r="J33" s="42"/>
      <c r="K33" s="42"/>
      <c r="L33" s="5"/>
      <c r="M33" s="6"/>
      <c r="R33" s="37"/>
    </row>
    <row r="34" spans="2:18" ht="15" customHeight="1">
      <c r="B34" s="42" t="s">
        <v>61</v>
      </c>
      <c r="C34" s="42"/>
      <c r="D34" s="42"/>
      <c r="E34" s="42"/>
      <c r="F34" s="42" t="str">
        <f>B70</f>
        <v>per 100 youth found delinquent</v>
      </c>
      <c r="G34" s="42"/>
      <c r="H34" s="42"/>
      <c r="I34" s="42"/>
      <c r="J34" s="42"/>
      <c r="K34" s="42"/>
      <c r="L34" s="5"/>
      <c r="M34" s="6"/>
      <c r="R34" s="37"/>
    </row>
    <row r="35" spans="2:18" ht="15" customHeight="1">
      <c r="B35" s="42" t="s">
        <v>60</v>
      </c>
      <c r="C35" s="42"/>
      <c r="D35" s="42"/>
      <c r="E35" s="42"/>
      <c r="F35" s="42" t="str">
        <f>B69</f>
        <v>per 100 youth petitioned</v>
      </c>
      <c r="G35" s="42"/>
      <c r="H35" s="42"/>
      <c r="I35" s="42"/>
      <c r="J35" s="42"/>
      <c r="K35" s="42"/>
      <c r="L35" s="5"/>
      <c r="M35" s="6"/>
      <c r="R35" s="37"/>
    </row>
    <row r="36" spans="10:18" ht="15" customHeight="1">
      <c r="J36" s="6"/>
      <c r="K36" s="6"/>
      <c r="L36" s="6"/>
      <c r="M36" s="6"/>
      <c r="R36" s="37"/>
    </row>
    <row r="37" ht="13.5" hidden="1">
      <c r="R37" s="37"/>
    </row>
    <row r="38" ht="13.5" hidden="1">
      <c r="R38" s="37"/>
    </row>
    <row r="39" ht="13.5" hidden="1">
      <c r="R39" s="37"/>
    </row>
    <row r="40" spans="2:18" ht="30.75" customHeight="1" hidden="1">
      <c r="B40" s="125" t="s">
        <v>58</v>
      </c>
      <c r="C40" s="124"/>
      <c r="D40" s="124"/>
      <c r="E40" s="124"/>
      <c r="F40" s="124"/>
      <c r="G40" s="124"/>
      <c r="H40" s="124"/>
      <c r="I40" s="124"/>
      <c r="J40" s="124"/>
      <c r="K40" s="14"/>
      <c r="R40" s="37"/>
    </row>
    <row r="41" spans="2:18" ht="13.5" hidden="1">
      <c r="B41" s="44" t="s">
        <v>56</v>
      </c>
      <c r="C41" s="45" t="s">
        <v>37</v>
      </c>
      <c r="D41" s="46" t="s">
        <v>38</v>
      </c>
      <c r="E41" s="45" t="s">
        <v>53</v>
      </c>
      <c r="G41" s="45" t="s">
        <v>55</v>
      </c>
      <c r="H41" s="45"/>
      <c r="I41" s="45"/>
      <c r="L41" t="s">
        <v>62</v>
      </c>
      <c r="R41" s="37"/>
    </row>
    <row r="42" spans="2:18" ht="13.5" hidden="1">
      <c r="B42" s="36" t="s">
        <v>40</v>
      </c>
      <c r="C42" s="38">
        <f>C6/1000</f>
        <v>15.248</v>
      </c>
      <c r="D42" s="38">
        <f>E6/1000</f>
        <v>3.323</v>
      </c>
      <c r="E42" s="38">
        <f>MAX(C42:D42)</f>
        <v>15.248</v>
      </c>
      <c r="G42" t="str">
        <f>B42</f>
        <v>per 1000 youth</v>
      </c>
      <c r="L42" s="18">
        <v>1000</v>
      </c>
      <c r="M42" s="18"/>
      <c r="R42" s="37"/>
    </row>
    <row r="43" spans="2:18" ht="13.5" hidden="1">
      <c r="B43" s="36" t="s">
        <v>41</v>
      </c>
      <c r="C43" s="38">
        <f>C7/100</f>
        <v>3.25</v>
      </c>
      <c r="D43" s="38">
        <f>E7/100</f>
        <v>2.47</v>
      </c>
      <c r="E43" s="38">
        <f>MAX(C43:D43,0)</f>
        <v>3.25</v>
      </c>
      <c r="G43" t="str">
        <f>B43</f>
        <v>per 100 arrests</v>
      </c>
      <c r="L43" s="18">
        <v>100</v>
      </c>
      <c r="M43" s="18"/>
      <c r="R43" s="37"/>
    </row>
    <row r="44" spans="2:18" ht="13.5" hidden="1">
      <c r="B44" s="36" t="s">
        <v>54</v>
      </c>
      <c r="C44" s="38">
        <f>C8/100</f>
        <v>3.25</v>
      </c>
      <c r="D44" s="38">
        <f>E8/100</f>
        <v>2.47</v>
      </c>
      <c r="E44" s="38">
        <f>MAX(C44:D44,0)</f>
        <v>3.25</v>
      </c>
      <c r="G44" t="str">
        <f>B44</f>
        <v>per 100 referrals</v>
      </c>
      <c r="L44" s="18">
        <v>100</v>
      </c>
      <c r="M44" s="18"/>
      <c r="R44" s="37"/>
    </row>
    <row r="45" spans="2:18" ht="13.5" hidden="1">
      <c r="B45" s="39" t="s">
        <v>43</v>
      </c>
      <c r="C45" s="37">
        <f>C11/100</f>
        <v>0.84</v>
      </c>
      <c r="D45" s="37">
        <f>E11/100</f>
        <v>0.68</v>
      </c>
      <c r="E45" s="38">
        <f>MAX(C45:D45,0)</f>
        <v>0.84</v>
      </c>
      <c r="G45" t="str">
        <f>B45</f>
        <v>per 100 youth petitioned</v>
      </c>
      <c r="L45" s="18">
        <v>100</v>
      </c>
      <c r="M45" s="18"/>
      <c r="R45" s="37"/>
    </row>
    <row r="46" spans="2:18" ht="13.5" hidden="1">
      <c r="B46" s="39" t="s">
        <v>44</v>
      </c>
      <c r="C46" s="37">
        <f>C12/100</f>
        <v>0.84</v>
      </c>
      <c r="D46" s="37">
        <f>E12/100</f>
        <v>0.68</v>
      </c>
      <c r="E46" s="38">
        <f>MAX(C46:D46)</f>
        <v>0.84</v>
      </c>
      <c r="G46" t="str">
        <f>B46</f>
        <v>per 100 youth found delinquent</v>
      </c>
      <c r="L46" s="18">
        <v>100</v>
      </c>
      <c r="M46" s="18"/>
      <c r="R46" s="37"/>
    </row>
    <row r="47" spans="2:18" ht="13.5" hidden="1">
      <c r="B47" s="14"/>
      <c r="C47" s="14"/>
      <c r="D47" s="14"/>
      <c r="E47" s="14"/>
      <c r="L47" s="18"/>
      <c r="M47" s="18"/>
      <c r="R47" s="37"/>
    </row>
    <row r="48" spans="2:18" ht="13.5" hidden="1">
      <c r="B48" s="37" t="str">
        <f>B42</f>
        <v>per 1000 youth</v>
      </c>
      <c r="C48" s="38">
        <f>C42</f>
        <v>15.248</v>
      </c>
      <c r="D48" s="38">
        <f>D42</f>
        <v>3.323</v>
      </c>
      <c r="E48" s="38">
        <f>MAX(C48:D48)</f>
        <v>15.248</v>
      </c>
      <c r="G48" t="str">
        <f>G42</f>
        <v>per 1000 youth</v>
      </c>
      <c r="L48" s="76">
        <f>L42</f>
        <v>1000</v>
      </c>
      <c r="M48" s="76"/>
      <c r="N48" s="11"/>
      <c r="O48" s="11"/>
      <c r="P48" s="11"/>
      <c r="Q48" s="11"/>
      <c r="R48" s="11"/>
    </row>
    <row r="49" spans="2:18" ht="13.5" hidden="1">
      <c r="B49" s="36" t="str">
        <f aca="true" t="shared" si="9" ref="B49:D50">IF(($E43&gt;0),B43,B42)</f>
        <v>per 100 arrests</v>
      </c>
      <c r="C49" s="36">
        <f t="shared" si="9"/>
        <v>3.25</v>
      </c>
      <c r="D49" s="36">
        <f t="shared" si="9"/>
        <v>2.47</v>
      </c>
      <c r="E49" s="37">
        <f>MAX(C49:D49)</f>
        <v>3.25</v>
      </c>
      <c r="G49" t="str">
        <f>G43</f>
        <v>per 100 arrests</v>
      </c>
      <c r="L49" s="77">
        <f>IF(($E43&gt;0),L43,L42)</f>
        <v>100</v>
      </c>
      <c r="M49" s="77"/>
      <c r="N49" s="11"/>
      <c r="O49" s="11"/>
      <c r="P49" s="11"/>
      <c r="Q49" s="11"/>
      <c r="R49" s="11"/>
    </row>
    <row r="50" spans="2:18" ht="13.5" hidden="1">
      <c r="B50" s="36" t="str">
        <f t="shared" si="9"/>
        <v>per 100 referrals</v>
      </c>
      <c r="C50" s="36">
        <f t="shared" si="9"/>
        <v>3.25</v>
      </c>
      <c r="D50" s="36">
        <f t="shared" si="9"/>
        <v>2.47</v>
      </c>
      <c r="E50" s="37">
        <f>MAX(C50:D50)</f>
        <v>3.25</v>
      </c>
      <c r="G50" t="str">
        <f>G44</f>
        <v>per 100 referrals</v>
      </c>
      <c r="L50" s="77">
        <f>IF(($E44&gt;0),L44,L43)</f>
        <v>100</v>
      </c>
      <c r="M50" s="77"/>
      <c r="N50" s="11"/>
      <c r="O50" s="11"/>
      <c r="P50" s="11"/>
      <c r="Q50" s="11"/>
      <c r="R50" s="11"/>
    </row>
    <row r="51" spans="2:13" ht="13.5" hidden="1">
      <c r="B51" s="36" t="str">
        <f>IF(($E45&gt;0),B45,B43)</f>
        <v>per 100 youth petitioned</v>
      </c>
      <c r="C51" s="36">
        <f>IF(($E45&gt;0),C45,C44)</f>
        <v>0.84</v>
      </c>
      <c r="D51" s="36">
        <f>IF(($E45&gt;0),D45,D44)</f>
        <v>0.68</v>
      </c>
      <c r="E51" s="37">
        <f>MAX(C51:D51)</f>
        <v>0.84</v>
      </c>
      <c r="G51" t="str">
        <f>G45</f>
        <v>per 100 youth petitioned</v>
      </c>
      <c r="L51" s="77">
        <f>IF(($E45&gt;0),L45,L44)</f>
        <v>100</v>
      </c>
      <c r="M51" s="77"/>
    </row>
    <row r="52" spans="2:13" ht="13.5" hidden="1">
      <c r="B52" s="37" t="str">
        <f>IF(($E46&gt;0),B46,B45)</f>
        <v>per 100 youth found delinquent</v>
      </c>
      <c r="C52" s="37">
        <f>IF(($E46&gt;0),C46,C45)</f>
        <v>0.84</v>
      </c>
      <c r="D52" s="37">
        <f>IF(($E46&gt;0),D46,D45)</f>
        <v>0.68</v>
      </c>
      <c r="E52" s="38">
        <f>MAX(C52:D52)</f>
        <v>0.84</v>
      </c>
      <c r="G52" t="str">
        <f>G46</f>
        <v>per 100 youth found delinquent</v>
      </c>
      <c r="L52" s="77">
        <f>IF(($E46&gt;0),L46,L45)</f>
        <v>100</v>
      </c>
      <c r="M52" s="77"/>
    </row>
    <row r="53" spans="2:13" ht="13.5" hidden="1">
      <c r="B53" s="36"/>
      <c r="C53" s="37"/>
      <c r="D53" s="37"/>
      <c r="E53" s="37"/>
      <c r="L53" s="18"/>
      <c r="M53" s="18"/>
    </row>
    <row r="54" spans="2:13" ht="13.5" hidden="1">
      <c r="B54" s="37" t="str">
        <f>B48</f>
        <v>per 1000 youth</v>
      </c>
      <c r="C54" s="38">
        <f>C48</f>
        <v>15.248</v>
      </c>
      <c r="D54" s="38">
        <f>D48</f>
        <v>3.323</v>
      </c>
      <c r="E54" s="38">
        <f>MAX(C54:D54)</f>
        <v>15.248</v>
      </c>
      <c r="G54" t="str">
        <f>G48</f>
        <v>per 1000 youth</v>
      </c>
      <c r="L54" s="76">
        <f>L48</f>
        <v>1000</v>
      </c>
      <c r="M54" s="76"/>
    </row>
    <row r="55" spans="2:13" ht="13.5" hidden="1">
      <c r="B55" s="36" t="str">
        <f aca="true" t="shared" si="10" ref="B55:D56">IF(($E49&gt;0),B49,B48)</f>
        <v>per 100 arrests</v>
      </c>
      <c r="C55" s="36">
        <f t="shared" si="10"/>
        <v>3.25</v>
      </c>
      <c r="D55" s="36">
        <f t="shared" si="10"/>
        <v>2.47</v>
      </c>
      <c r="E55" s="37">
        <f>MAX(C55:D55)</f>
        <v>3.25</v>
      </c>
      <c r="G55" t="str">
        <f>G49</f>
        <v>per 100 arrests</v>
      </c>
      <c r="L55" s="77">
        <f>IF(($E49&gt;0),L49,L48)</f>
        <v>100</v>
      </c>
      <c r="M55" s="77"/>
    </row>
    <row r="56" spans="2:13" ht="13.5" hidden="1">
      <c r="B56" s="36" t="str">
        <f t="shared" si="10"/>
        <v>per 100 referrals</v>
      </c>
      <c r="C56" s="36">
        <f t="shared" si="10"/>
        <v>3.25</v>
      </c>
      <c r="D56" s="36">
        <f t="shared" si="10"/>
        <v>2.47</v>
      </c>
      <c r="E56" s="37">
        <f>MAX(C56:D56)</f>
        <v>3.25</v>
      </c>
      <c r="G56" t="str">
        <f>G50</f>
        <v>per 100 referrals</v>
      </c>
      <c r="L56" s="77">
        <f>IF(($E50&gt;0),L50,L49)</f>
        <v>100</v>
      </c>
      <c r="M56" s="77"/>
    </row>
    <row r="57" spans="2:13" ht="13.5" hidden="1">
      <c r="B57" s="36" t="str">
        <f>IF(($E51&gt;0),B51,B49)</f>
        <v>per 100 youth petitioned</v>
      </c>
      <c r="C57" s="36">
        <f>IF(($E51&gt;0),C51,C50)</f>
        <v>0.84</v>
      </c>
      <c r="D57" s="36">
        <f>IF(($E51&gt;0),D51,D50)</f>
        <v>0.68</v>
      </c>
      <c r="E57" s="37">
        <f>MAX(C57:D57)</f>
        <v>0.84</v>
      </c>
      <c r="G57" t="str">
        <f>G51</f>
        <v>per 100 youth petitioned</v>
      </c>
      <c r="L57" s="77">
        <f>IF(($E51&gt;0),L51,L50)</f>
        <v>100</v>
      </c>
      <c r="M57" s="77"/>
    </row>
    <row r="58" spans="2:13" ht="13.5" hidden="1">
      <c r="B58" s="37" t="str">
        <f>IF(($E52&gt;0),B52,B51)</f>
        <v>per 100 youth found delinquent</v>
      </c>
      <c r="C58" s="37">
        <f>IF(($E52&gt;0),C52,C51)</f>
        <v>0.84</v>
      </c>
      <c r="D58" s="37">
        <f>IF(($E52&gt;0),D52,D51)</f>
        <v>0.68</v>
      </c>
      <c r="E58" s="38">
        <f>MAX(C58:D58)</f>
        <v>0.84</v>
      </c>
      <c r="G58" t="str">
        <f>G52</f>
        <v>per 100 youth found delinquent</v>
      </c>
      <c r="L58" s="76">
        <f>IF(($E52&gt;0),L52,L51)</f>
        <v>100</v>
      </c>
      <c r="M58" s="76"/>
    </row>
    <row r="59" spans="2:13" ht="13.5" hidden="1">
      <c r="B59" s="37"/>
      <c r="C59" s="37"/>
      <c r="D59" s="37"/>
      <c r="E59" s="37"/>
      <c r="L59" s="18"/>
      <c r="M59" s="18"/>
    </row>
    <row r="60" spans="2:13" ht="13.5" hidden="1">
      <c r="B60" s="37" t="str">
        <f>B54</f>
        <v>per 1000 youth</v>
      </c>
      <c r="C60" s="38">
        <f>C54</f>
        <v>15.248</v>
      </c>
      <c r="D60" s="38">
        <f>D54</f>
        <v>3.323</v>
      </c>
      <c r="E60" s="38">
        <f>MAX(C60:D60)</f>
        <v>15.248</v>
      </c>
      <c r="G60" t="str">
        <f>G54</f>
        <v>per 1000 youth</v>
      </c>
      <c r="L60" s="76">
        <f>L54</f>
        <v>1000</v>
      </c>
      <c r="M60" s="76"/>
    </row>
    <row r="61" spans="2:13" ht="13.5" hidden="1">
      <c r="B61" s="36" t="str">
        <f aca="true" t="shared" si="11" ref="B61:D62">IF(($E55&gt;0),B55,B54)</f>
        <v>per 100 arrests</v>
      </c>
      <c r="C61" s="36">
        <f t="shared" si="11"/>
        <v>3.25</v>
      </c>
      <c r="D61" s="36">
        <f t="shared" si="11"/>
        <v>2.47</v>
      </c>
      <c r="E61" s="37">
        <f>MAX(C61:D61)</f>
        <v>3.25</v>
      </c>
      <c r="G61" t="str">
        <f>G55</f>
        <v>per 100 arrests</v>
      </c>
      <c r="L61" s="77">
        <f>IF(($E55&gt;0),L55,L54)</f>
        <v>100</v>
      </c>
      <c r="M61" s="77"/>
    </row>
    <row r="62" spans="2:13" ht="13.5" hidden="1">
      <c r="B62" s="36" t="str">
        <f t="shared" si="11"/>
        <v>per 100 referrals</v>
      </c>
      <c r="C62" s="36">
        <f t="shared" si="11"/>
        <v>3.25</v>
      </c>
      <c r="D62" s="36">
        <f t="shared" si="11"/>
        <v>2.47</v>
      </c>
      <c r="E62" s="37">
        <f>MAX(C62:D62)</f>
        <v>3.25</v>
      </c>
      <c r="G62" t="str">
        <f>G56</f>
        <v>per 100 referrals</v>
      </c>
      <c r="L62" s="77">
        <f>IF(($E56&gt;0),L56,L55)</f>
        <v>100</v>
      </c>
      <c r="M62" s="77"/>
    </row>
    <row r="63" spans="2:13" ht="13.5" hidden="1">
      <c r="B63" s="36" t="str">
        <f>IF(($E57&gt;0),B57,B55)</f>
        <v>per 100 youth petitioned</v>
      </c>
      <c r="C63" s="36">
        <f>IF(($E57&gt;0),C57,C56)</f>
        <v>0.84</v>
      </c>
      <c r="D63" s="36">
        <f>IF(($E57&gt;0),D57,D56)</f>
        <v>0.68</v>
      </c>
      <c r="E63" s="37">
        <f>MAX(C63:D63)</f>
        <v>0.84</v>
      </c>
      <c r="G63" t="str">
        <f>G57</f>
        <v>per 100 youth petitioned</v>
      </c>
      <c r="L63" s="77">
        <f>IF(($E57&gt;0),L57,L56)</f>
        <v>100</v>
      </c>
      <c r="M63" s="77"/>
    </row>
    <row r="64" spans="2:13" ht="13.5" hidden="1">
      <c r="B64" s="37" t="str">
        <f>IF(($E58&gt;0),B58,B57)</f>
        <v>per 100 youth found delinquent</v>
      </c>
      <c r="C64" s="37">
        <f>IF(($E58&gt;0),C58,C57)</f>
        <v>0.84</v>
      </c>
      <c r="D64" s="37">
        <f>IF(($E58&gt;0),D58,D57)</f>
        <v>0.68</v>
      </c>
      <c r="E64" s="38">
        <f>MAX(C64:D64)</f>
        <v>0.84</v>
      </c>
      <c r="G64" t="str">
        <f>G58</f>
        <v>per 100 youth found delinquent</v>
      </c>
      <c r="L64" s="76">
        <f>IF(($E58&gt;0),L58,L57)</f>
        <v>100</v>
      </c>
      <c r="M64" s="76"/>
    </row>
    <row r="65" spans="2:13" ht="13.5" hidden="1">
      <c r="B65" s="47" t="s">
        <v>57</v>
      </c>
      <c r="L65" s="18"/>
      <c r="M65" s="18"/>
    </row>
    <row r="66" spans="2:13" ht="13.5" hidden="1">
      <c r="B66" s="37" t="str">
        <f>B60</f>
        <v>per 1000 youth</v>
      </c>
      <c r="C66" s="38">
        <f>C60</f>
        <v>15.248</v>
      </c>
      <c r="D66" s="38">
        <f>D60</f>
        <v>3.323</v>
      </c>
      <c r="E66" s="38">
        <f>MAX(C66:D66)</f>
        <v>15.248</v>
      </c>
      <c r="G66" t="str">
        <f>G60</f>
        <v>per 1000 youth</v>
      </c>
      <c r="L66" s="76">
        <f>L60</f>
        <v>1000</v>
      </c>
      <c r="M66" s="76">
        <f>IF((B66=G66),1,2)</f>
        <v>1</v>
      </c>
    </row>
    <row r="67" spans="2:13" ht="13.5" hidden="1">
      <c r="B67" s="36" t="str">
        <f aca="true" t="shared" si="12" ref="B67:D68">IF(($E61&gt;0),B61,B60)</f>
        <v>per 100 arrests</v>
      </c>
      <c r="C67" s="36">
        <f t="shared" si="12"/>
        <v>3.25</v>
      </c>
      <c r="D67" s="36">
        <f t="shared" si="12"/>
        <v>2.47</v>
      </c>
      <c r="E67" s="37">
        <f>MAX(C67:D67)</f>
        <v>3.25</v>
      </c>
      <c r="G67" t="str">
        <f>G61</f>
        <v>per 100 arrests</v>
      </c>
      <c r="L67" s="77">
        <f>IF(($E61&gt;0),L61,L60)</f>
        <v>100</v>
      </c>
      <c r="M67" s="76">
        <f>IF((B67=G67),1,2)</f>
        <v>1</v>
      </c>
    </row>
    <row r="68" spans="2:13" ht="13.5" hidden="1">
      <c r="B68" s="36" t="str">
        <f t="shared" si="12"/>
        <v>per 100 referrals</v>
      </c>
      <c r="C68" s="36">
        <f t="shared" si="12"/>
        <v>3.25</v>
      </c>
      <c r="D68" s="36">
        <f t="shared" si="12"/>
        <v>2.47</v>
      </c>
      <c r="E68" s="37">
        <f>MAX(C68:D68)</f>
        <v>3.25</v>
      </c>
      <c r="G68" t="str">
        <f>G62</f>
        <v>per 100 referrals</v>
      </c>
      <c r="L68" s="77">
        <f>IF(($E62&gt;0),L62,L61)</f>
        <v>100</v>
      </c>
      <c r="M68" s="76">
        <f>IF((B68=G68),1,2)</f>
        <v>1</v>
      </c>
    </row>
    <row r="69" spans="2:13" ht="13.5" hidden="1">
      <c r="B69" s="36" t="str">
        <f>IF(($E63&gt;0),B63,B61)</f>
        <v>per 100 youth petitioned</v>
      </c>
      <c r="C69" s="36">
        <f>IF(($E63&gt;0),C63,C62)</f>
        <v>0.84</v>
      </c>
      <c r="D69" s="36">
        <f>IF(($E63&gt;0),D63,D62)</f>
        <v>0.68</v>
      </c>
      <c r="E69" s="37">
        <f>MAX(C69:D69)</f>
        <v>0.84</v>
      </c>
      <c r="G69" t="str">
        <f>G63</f>
        <v>per 100 youth petitioned</v>
      </c>
      <c r="L69" s="77">
        <f>IF(($E63&gt;0),L63,L62)</f>
        <v>100</v>
      </c>
      <c r="M69" s="76">
        <f>IF((B69=G69),1,2)</f>
        <v>1</v>
      </c>
    </row>
    <row r="70" spans="2:13" ht="13.5" hidden="1">
      <c r="B70" s="37" t="str">
        <f>IF(($E64&gt;0),B64,B63)</f>
        <v>per 100 youth found delinquent</v>
      </c>
      <c r="C70" s="37">
        <f>IF(($E64&gt;0),C64,C63)</f>
        <v>0.84</v>
      </c>
      <c r="D70" s="37">
        <f>IF(($E64&gt;0),D64,D63)</f>
        <v>0.68</v>
      </c>
      <c r="E70" s="38">
        <f>MAX(C70:D70)</f>
        <v>0.84</v>
      </c>
      <c r="G70" t="str">
        <f>G64</f>
        <v>per 100 youth found delinquent</v>
      </c>
      <c r="L70" s="76">
        <f>IF(($E64&gt;0),L64,L63)</f>
        <v>100</v>
      </c>
      <c r="M70" s="76">
        <f>IF((B70=G70),1,2)</f>
        <v>1</v>
      </c>
    </row>
    <row r="71" ht="13.5" hidden="1"/>
    <row r="72" ht="13.5" hidden="1"/>
    <row r="73" ht="13.5" hidden="1"/>
    <row r="74" ht="13.5" hidden="1"/>
    <row r="75" ht="13.5" hidden="1"/>
    <row r="76" ht="13.5" hidden="1"/>
    <row r="77" ht="13.5" hidden="1"/>
    <row r="78" ht="13.5" hidden="1"/>
    <row r="79" ht="13.5" hidden="1"/>
    <row r="80" ht="13.5" hidden="1"/>
    <row r="81" ht="13.5" hidden="1"/>
    <row r="82" ht="13.5" hidden="1">
      <c r="B82" s="90"/>
    </row>
    <row r="83" ht="13.5" hidden="1">
      <c r="B83" s="91"/>
    </row>
    <row r="84" ht="13.5" hidden="1"/>
    <row r="85" ht="13.5" hidden="1"/>
    <row r="86" ht="13.5" hidden="1"/>
    <row r="87" ht="13.5" hidden="1"/>
    <row r="88" ht="13.5" hidden="1"/>
    <row r="89" ht="13.5" hidden="1"/>
    <row r="90" ht="13.5" hidden="1"/>
  </sheetData>
  <sheetProtection password="C722" sheet="1" objects="1" scenarios="1"/>
  <mergeCells count="3">
    <mergeCell ref="F1:J1"/>
    <mergeCell ref="B40:J40"/>
    <mergeCell ref="N3:U4"/>
  </mergeCells>
  <conditionalFormatting sqref="F28">
    <cfRule type="expression" priority="1" dxfId="93" stopIfTrue="1">
      <formula>M67=2</formula>
    </cfRule>
  </conditionalFormatting>
  <conditionalFormatting sqref="F35">
    <cfRule type="expression" priority="2" dxfId="93" stopIfTrue="1">
      <formula>M69=2</formula>
    </cfRule>
  </conditionalFormatting>
  <conditionalFormatting sqref="G7:G15">
    <cfRule type="expression" priority="3" dxfId="93" stopIfTrue="1">
      <formula>$L7=1</formula>
    </cfRule>
    <cfRule type="expression" priority="4" dxfId="94" stopIfTrue="1">
      <formula>$L7=2</formula>
    </cfRule>
    <cfRule type="expression" priority="5" dxfId="95" stopIfTrue="1">
      <formula>$L7&gt;3</formula>
    </cfRule>
  </conditionalFormatting>
  <conditionalFormatting sqref="F27">
    <cfRule type="expression" priority="6" dxfId="96" stopIfTrue="1">
      <formula>M66=2</formula>
    </cfRule>
  </conditionalFormatting>
  <conditionalFormatting sqref="F29">
    <cfRule type="expression" priority="7" dxfId="93" stopIfTrue="1">
      <formula>M68=2</formula>
    </cfRule>
  </conditionalFormatting>
  <conditionalFormatting sqref="F30">
    <cfRule type="expression" priority="8" dxfId="93" stopIfTrue="1">
      <formula>M68=2</formula>
    </cfRule>
  </conditionalFormatting>
  <conditionalFormatting sqref="F31">
    <cfRule type="expression" priority="9" dxfId="93" stopIfTrue="1">
      <formula>M68=2</formula>
    </cfRule>
  </conditionalFormatting>
  <conditionalFormatting sqref="F32:F33">
    <cfRule type="expression" priority="10" dxfId="93" stopIfTrue="1">
      <formula>M69=2</formula>
    </cfRule>
  </conditionalFormatting>
  <conditionalFormatting sqref="F34">
    <cfRule type="expression" priority="11" dxfId="93" stopIfTrue="1">
      <formula>M70=2</formula>
    </cfRule>
  </conditionalFormatting>
  <conditionalFormatting sqref="B86">
    <cfRule type="expression" priority="12" dxfId="93" stopIfTrue="1">
      <formula>$D$83=2</formula>
    </cfRule>
  </conditionalFormatting>
  <printOptions/>
  <pageMargins left="0.53" right="0.42" top="0.75" bottom="0.5"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B2:R25"/>
  <sheetViews>
    <sheetView showGridLines="0" showRowColHeaders="0" tabSelected="1" zoomScalePageLayoutView="0" workbookViewId="0" topLeftCell="A1">
      <selection activeCell="I27" sqref="I27"/>
    </sheetView>
  </sheetViews>
  <sheetFormatPr defaultColWidth="9.140625" defaultRowHeight="15"/>
  <cols>
    <col min="1" max="1" width="5.28125" style="0" customWidth="1"/>
    <col min="2" max="2" width="35.7109375" style="0" customWidth="1"/>
    <col min="3" max="3" width="9.7109375" style="0" customWidth="1"/>
    <col min="4" max="4" width="10.140625" style="0" customWidth="1"/>
    <col min="6" max="8" width="10.140625" style="0" customWidth="1"/>
    <col min="9" max="9" width="10.28125" style="0" customWidth="1"/>
    <col min="11" max="15" width="0" style="0" hidden="1" customWidth="1"/>
    <col min="16" max="16" width="9.7109375" style="0" hidden="1" customWidth="1"/>
    <col min="17" max="19" width="0" style="0" hidden="1" customWidth="1"/>
  </cols>
  <sheetData>
    <row r="1" ht="14.25" thickBot="1"/>
    <row r="2" spans="2:9" ht="13.5">
      <c r="B2" s="57" t="s">
        <v>97</v>
      </c>
      <c r="C2" s="27"/>
      <c r="D2" s="27"/>
      <c r="E2" s="27"/>
      <c r="F2" s="27"/>
      <c r="G2" s="27"/>
      <c r="H2" s="27"/>
      <c r="I2" s="28"/>
    </row>
    <row r="3" spans="2:9" ht="13.5">
      <c r="B3" s="53"/>
      <c r="C3" s="6"/>
      <c r="D3" s="6"/>
      <c r="E3" s="6" t="str">
        <f>'Data Entry'!C3</f>
        <v> Reporting Period :</v>
      </c>
      <c r="F3" s="6"/>
      <c r="G3" s="6"/>
      <c r="H3" s="6"/>
      <c r="I3" s="52"/>
    </row>
    <row r="4" spans="2:9" ht="13.5">
      <c r="B4" s="53" t="str">
        <f>'Data Entry'!A2</f>
        <v>State :  Montana                        </v>
      </c>
      <c r="C4" s="6"/>
      <c r="D4" s="6"/>
      <c r="E4" s="6" t="str">
        <f>'Data Entry'!C4</f>
        <v>January 1, 2015 to December 31, 2015</v>
      </c>
      <c r="F4" s="6"/>
      <c r="G4" s="6"/>
      <c r="H4" s="6"/>
      <c r="I4" s="52"/>
    </row>
    <row r="5" spans="2:9" ht="13.5">
      <c r="B5" s="53" t="str">
        <f>'Data Entry'!A3</f>
        <v>County: Cascade</v>
      </c>
      <c r="C5" s="6"/>
      <c r="D5" s="6"/>
      <c r="E5" s="6"/>
      <c r="F5" s="6"/>
      <c r="G5" s="6"/>
      <c r="H5" s="6"/>
      <c r="I5" s="52"/>
    </row>
    <row r="6" spans="2:16" s="14" customFormat="1" ht="69">
      <c r="B6" s="59"/>
      <c r="C6" s="60" t="str">
        <f>'Black or African-American'!$F$1</f>
        <v>Black or African-American</v>
      </c>
      <c r="D6" s="60" t="str">
        <f>Hispanic!F1</f>
        <v>Hispanic or Latino</v>
      </c>
      <c r="E6" s="60" t="str">
        <f>Asian!F1</f>
        <v>Asian</v>
      </c>
      <c r="F6" s="60" t="str">
        <f>Hawaiian!F1</f>
        <v>Native Hawaiian or other Pacific Islanders</v>
      </c>
      <c r="G6" s="104" t="str">
        <f>'Data Entry'!H5</f>
        <v>American Indian or Alaska Native</v>
      </c>
      <c r="H6" s="60" t="str">
        <f>'Data Entry'!I5</f>
        <v>Other/ Mixed</v>
      </c>
      <c r="I6" s="61" t="str">
        <f>'Data Entry'!J5</f>
        <v>All Minorities</v>
      </c>
      <c r="L6" s="60"/>
      <c r="M6" s="60"/>
      <c r="N6" s="60"/>
      <c r="O6" s="60"/>
      <c r="P6" s="103"/>
    </row>
    <row r="7" spans="2:18" ht="13.5">
      <c r="B7" s="65" t="s">
        <v>11</v>
      </c>
      <c r="C7" s="66">
        <f>'Black or African-American'!$G7</f>
        <v>2.125923076923077</v>
      </c>
      <c r="D7" s="66">
        <f>Hispanic!G7</f>
        <v>0.46761052900587785</v>
      </c>
      <c r="E7" s="66" t="str">
        <f>Asian!G7</f>
        <v>**</v>
      </c>
      <c r="F7" s="66" t="str">
        <f>Hawaiian!G7</f>
        <v>*</v>
      </c>
      <c r="G7" s="66">
        <f>'Am Indian'!G7</f>
        <v>7.64119268353796</v>
      </c>
      <c r="H7" s="66" t="str">
        <f>'Other - Mixed'!G7</f>
        <v>*</v>
      </c>
      <c r="I7" s="67">
        <f>'All Minorities'!G7</f>
        <v>3.487354799879627</v>
      </c>
      <c r="L7">
        <f>'Black or African-American'!M7</f>
        <v>1</v>
      </c>
      <c r="M7">
        <f>Hispanic!L7</f>
        <v>1</v>
      </c>
      <c r="N7">
        <f>Asian!L7</f>
        <v>40</v>
      </c>
      <c r="O7" t="e">
        <f>Hawaiian!L7</f>
        <v>#DIV/0!</v>
      </c>
      <c r="P7">
        <f>'Am Indian'!L7</f>
        <v>1</v>
      </c>
      <c r="Q7" t="e">
        <f>'Other - Mixed'!L7</f>
        <v>#VALUE!</v>
      </c>
      <c r="R7">
        <f>'All Minorities'!L7</f>
        <v>1</v>
      </c>
    </row>
    <row r="8" spans="2:18" ht="13.5">
      <c r="B8" s="65" t="s">
        <v>12</v>
      </c>
      <c r="C8" s="66" t="str">
        <f>'Black or African-American'!$G8</f>
        <v>**</v>
      </c>
      <c r="D8" s="66" t="str">
        <f>Hispanic!G8</f>
        <v>**</v>
      </c>
      <c r="E8" s="66" t="str">
        <f>Asian!G8</f>
        <v>**</v>
      </c>
      <c r="F8" s="66" t="str">
        <f>Hawaiian!G8</f>
        <v>*</v>
      </c>
      <c r="G8" s="66">
        <f>'Am Indian'!G8</f>
        <v>1</v>
      </c>
      <c r="H8" s="66" t="str">
        <f>'Other - Mixed'!G8</f>
        <v>*</v>
      </c>
      <c r="I8" s="67">
        <f>'All Minorities'!G8</f>
        <v>0.9999999999999999</v>
      </c>
      <c r="L8">
        <f>'Black or African-American'!M8</f>
        <v>40</v>
      </c>
      <c r="M8">
        <f>Hispanic!L8</f>
        <v>40</v>
      </c>
      <c r="N8">
        <f>Asian!L8</f>
        <v>20</v>
      </c>
      <c r="O8">
        <f>Hawaiian!L8</f>
        <v>139</v>
      </c>
      <c r="P8">
        <f>'Am Indian'!L8</f>
        <v>2</v>
      </c>
      <c r="Q8">
        <f>'Other - Mixed'!L8</f>
        <v>119</v>
      </c>
      <c r="R8">
        <f>'All Minorities'!L8</f>
        <v>2</v>
      </c>
    </row>
    <row r="9" spans="2:18" ht="13.5">
      <c r="B9" s="65" t="s">
        <v>13</v>
      </c>
      <c r="C9" s="66" t="str">
        <f>'Black or African-American'!$G9</f>
        <v>**</v>
      </c>
      <c r="D9" s="66" t="str">
        <f>Hispanic!G9</f>
        <v>**</v>
      </c>
      <c r="E9" s="66" t="str">
        <f>Asian!G9</f>
        <v>**</v>
      </c>
      <c r="F9" s="66" t="str">
        <f>Hawaiian!G9</f>
        <v>*</v>
      </c>
      <c r="G9" s="66">
        <f>'Am Indian'!G9</f>
        <v>0.7895047169811321</v>
      </c>
      <c r="H9" s="66" t="str">
        <f>'Other - Mixed'!G9</f>
        <v>*</v>
      </c>
      <c r="I9" s="67">
        <f>'All Minorities'!G9</f>
        <v>0.8316782522343594</v>
      </c>
      <c r="L9">
        <f>'Black or African-American'!M9</f>
        <v>40</v>
      </c>
      <c r="M9">
        <f>Hispanic!L9</f>
        <v>40</v>
      </c>
      <c r="N9">
        <f>Asian!L9</f>
        <v>40</v>
      </c>
      <c r="O9">
        <f>Hawaiian!L9</f>
        <v>139</v>
      </c>
      <c r="P9">
        <f>'Am Indian'!L9</f>
        <v>1</v>
      </c>
      <c r="Q9" t="e">
        <f>'Other - Mixed'!L9</f>
        <v>#VALUE!</v>
      </c>
      <c r="R9">
        <f>'All Minorities'!L9</f>
        <v>1</v>
      </c>
    </row>
    <row r="10" spans="2:18" ht="13.5">
      <c r="B10" s="65" t="s">
        <v>14</v>
      </c>
      <c r="C10" s="66" t="str">
        <f>'Black or African-American'!$G10</f>
        <v>**</v>
      </c>
      <c r="D10" s="66" t="str">
        <f>Hispanic!G10</f>
        <v>**</v>
      </c>
      <c r="E10" s="66" t="str">
        <f>Asian!G10</f>
        <v>**</v>
      </c>
      <c r="F10" s="66" t="str">
        <f>Hawaiian!G10</f>
        <v>*</v>
      </c>
      <c r="G10" s="66">
        <f>'Am Indian'!G10</f>
        <v>1.1585648148148147</v>
      </c>
      <c r="H10" s="66" t="str">
        <f>'Other - Mixed'!G10</f>
        <v>*</v>
      </c>
      <c r="I10" s="67">
        <f>'All Minorities'!G10</f>
        <v>1.1330409356725146</v>
      </c>
      <c r="L10">
        <f>'Black or African-American'!M10</f>
        <v>40</v>
      </c>
      <c r="M10">
        <f>Hispanic!L10</f>
        <v>40</v>
      </c>
      <c r="N10">
        <f>Asian!L10</f>
        <v>40</v>
      </c>
      <c r="O10">
        <f>Hawaiian!L10</f>
        <v>119</v>
      </c>
      <c r="P10">
        <f>'Am Indian'!L10</f>
        <v>1</v>
      </c>
      <c r="Q10" t="e">
        <f>'Other - Mixed'!L10</f>
        <v>#VALUE!</v>
      </c>
      <c r="R10">
        <f>'All Minorities'!L10</f>
        <v>1</v>
      </c>
    </row>
    <row r="11" spans="2:18" ht="13.5">
      <c r="B11" s="65" t="s">
        <v>48</v>
      </c>
      <c r="C11" s="66" t="str">
        <f>'Black or African-American'!$G11</f>
        <v>**</v>
      </c>
      <c r="D11" s="66" t="str">
        <f>Hispanic!G11</f>
        <v>**</v>
      </c>
      <c r="E11" s="66" t="str">
        <f>Asian!G11</f>
        <v>**</v>
      </c>
      <c r="F11" s="66" t="str">
        <f>Hawaiian!G11</f>
        <v>*</v>
      </c>
      <c r="G11" s="66">
        <f>'Am Indian'!G11</f>
        <v>1.1026785714285714</v>
      </c>
      <c r="H11" s="66" t="str">
        <f>'Other - Mixed'!G11</f>
        <v>*</v>
      </c>
      <c r="I11" s="67">
        <f>'All Minorities'!G11</f>
        <v>1.0651629072681703</v>
      </c>
      <c r="L11">
        <f>'Black or African-American'!M11</f>
        <v>40</v>
      </c>
      <c r="M11">
        <f>Hispanic!L11</f>
        <v>40</v>
      </c>
      <c r="N11">
        <f>Asian!L11</f>
        <v>40</v>
      </c>
      <c r="O11">
        <f>Hawaiian!L11</f>
        <v>139</v>
      </c>
      <c r="P11">
        <f>'Am Indian'!L11</f>
        <v>2</v>
      </c>
      <c r="Q11" t="e">
        <f>'Other - Mixed'!L11</f>
        <v>#VALUE!</v>
      </c>
      <c r="R11">
        <f>'All Minorities'!L11</f>
        <v>2</v>
      </c>
    </row>
    <row r="12" spans="2:18" ht="13.5">
      <c r="B12" s="65" t="s">
        <v>15</v>
      </c>
      <c r="C12" s="66" t="str">
        <f>'Black or African-American'!$G12</f>
        <v>--</v>
      </c>
      <c r="D12" s="66" t="str">
        <f>Hispanic!G12</f>
        <v>--</v>
      </c>
      <c r="E12" s="66" t="str">
        <f>Asian!G12</f>
        <v>--</v>
      </c>
      <c r="F12" s="66" t="str">
        <f>Hawaiian!G12</f>
        <v>*</v>
      </c>
      <c r="G12" s="66" t="str">
        <f>'Am Indian'!G12</f>
        <v>--</v>
      </c>
      <c r="H12" s="66" t="str">
        <f>'Other - Mixed'!G12</f>
        <v>*</v>
      </c>
      <c r="I12" s="67" t="str">
        <f>'All Minorities'!G12</f>
        <v>--</v>
      </c>
      <c r="L12" t="e">
        <f>'Black or African-American'!M12</f>
        <v>#VALUE!</v>
      </c>
      <c r="M12" t="e">
        <f>Hispanic!L12</f>
        <v>#VALUE!</v>
      </c>
      <c r="N12" t="e">
        <f>Asian!L12</f>
        <v>#VALUE!</v>
      </c>
      <c r="O12" t="e">
        <f>Hawaiian!L12</f>
        <v>#VALUE!</v>
      </c>
      <c r="P12" t="e">
        <f>'Am Indian'!L12</f>
        <v>#VALUE!</v>
      </c>
      <c r="Q12" t="e">
        <f>'Other - Mixed'!L12</f>
        <v>#VALUE!</v>
      </c>
      <c r="R12" t="e">
        <f>'All Minorities'!L12</f>
        <v>#VALUE!</v>
      </c>
    </row>
    <row r="13" spans="2:18" ht="13.5">
      <c r="B13" s="65" t="s">
        <v>16</v>
      </c>
      <c r="C13" s="66" t="str">
        <f>'Black or African-American'!$G13</f>
        <v>--</v>
      </c>
      <c r="D13" s="66" t="str">
        <f>Hispanic!G13</f>
        <v>--</v>
      </c>
      <c r="E13" s="66" t="str">
        <f>Asian!G13</f>
        <v>--</v>
      </c>
      <c r="F13" s="66" t="str">
        <f>Hawaiian!G13</f>
        <v>*</v>
      </c>
      <c r="G13" s="66" t="str">
        <f>'Am Indian'!G13</f>
        <v>--</v>
      </c>
      <c r="H13" s="66" t="str">
        <f>'Other - Mixed'!G13</f>
        <v>*</v>
      </c>
      <c r="I13" s="67" t="str">
        <f>'All Minorities'!G13</f>
        <v>--</v>
      </c>
      <c r="L13" t="e">
        <f>'Black or African-American'!M13</f>
        <v>#VALUE!</v>
      </c>
      <c r="M13" t="e">
        <f>Hispanic!L13</f>
        <v>#VALUE!</v>
      </c>
      <c r="N13" t="e">
        <f>Asian!L13</f>
        <v>#VALUE!</v>
      </c>
      <c r="O13" t="e">
        <f>Hawaiian!L13</f>
        <v>#VALUE!</v>
      </c>
      <c r="P13" t="e">
        <f>'Am Indian'!L13</f>
        <v>#VALUE!</v>
      </c>
      <c r="Q13" t="e">
        <f>'Other - Mixed'!L13</f>
        <v>#VALUE!</v>
      </c>
      <c r="R13" t="e">
        <f>'All Minorities'!L13</f>
        <v>#VALUE!</v>
      </c>
    </row>
    <row r="14" spans="2:18" ht="26.25">
      <c r="B14" s="65" t="s">
        <v>17</v>
      </c>
      <c r="C14" s="66" t="str">
        <f>'Black or African-American'!$G14</f>
        <v>**</v>
      </c>
      <c r="D14" s="66" t="str">
        <f>Hispanic!G14</f>
        <v>**</v>
      </c>
      <c r="E14" s="66" t="str">
        <f>Asian!G14</f>
        <v>--</v>
      </c>
      <c r="F14" s="66" t="str">
        <f>Hawaiian!G14</f>
        <v>*</v>
      </c>
      <c r="G14" s="66">
        <f>'Am Indian'!G14</f>
        <v>0.7368421052631579</v>
      </c>
      <c r="H14" s="66" t="str">
        <f>'Other - Mixed'!G14</f>
        <v>*</v>
      </c>
      <c r="I14" s="67">
        <f>'All Minorities'!G14</f>
        <v>1.0294117647058822</v>
      </c>
      <c r="L14">
        <f>'Black or African-American'!M14</f>
        <v>20</v>
      </c>
      <c r="M14">
        <f>Hispanic!L14</f>
        <v>40</v>
      </c>
      <c r="N14" t="e">
        <f>Asian!L14</f>
        <v>#VALUE!</v>
      </c>
      <c r="O14" t="e">
        <f>Hawaiian!L14</f>
        <v>#VALUE!</v>
      </c>
      <c r="P14">
        <f>'Am Indian'!L14</f>
        <v>2</v>
      </c>
      <c r="Q14" t="e">
        <f>'Other - Mixed'!L14</f>
        <v>#VALUE!</v>
      </c>
      <c r="R14">
        <f>'All Minorities'!L14</f>
        <v>2</v>
      </c>
    </row>
    <row r="15" spans="2:18" ht="13.5">
      <c r="B15" s="65" t="s">
        <v>18</v>
      </c>
      <c r="C15" s="66" t="str">
        <f>'Black or African-American'!$G15</f>
        <v>**</v>
      </c>
      <c r="D15" s="66" t="str">
        <f>Hispanic!G15</f>
        <v>**</v>
      </c>
      <c r="E15" s="66" t="str">
        <f>Asian!G15</f>
        <v>--</v>
      </c>
      <c r="F15" s="66" t="str">
        <f>Hawaiian!G15</f>
        <v>*</v>
      </c>
      <c r="G15" s="66" t="str">
        <f>'Am Indian'!G15</f>
        <v>**</v>
      </c>
      <c r="H15" s="66" t="str">
        <f>'Other - Mixed'!G15</f>
        <v>*</v>
      </c>
      <c r="I15" s="67" t="str">
        <f>'All Minorities'!G15</f>
        <v>**</v>
      </c>
      <c r="L15">
        <f>'Black or African-American'!M15</f>
        <v>40</v>
      </c>
      <c r="M15">
        <f>Hispanic!L15</f>
        <v>40</v>
      </c>
      <c r="N15" t="e">
        <f>Asian!L15</f>
        <v>#VALUE!</v>
      </c>
      <c r="O15" t="e">
        <f>Hawaiian!L15</f>
        <v>#VALUE!</v>
      </c>
      <c r="P15">
        <f>'Am Indian'!L15</f>
        <v>40</v>
      </c>
      <c r="Q15" t="e">
        <f>'Other - Mixed'!L15</f>
        <v>#VALUE!</v>
      </c>
      <c r="R15">
        <f>'All Minorities'!L15</f>
        <v>40</v>
      </c>
    </row>
    <row r="16" spans="2:9" ht="13.5">
      <c r="B16" s="32" t="s">
        <v>49</v>
      </c>
      <c r="C16" s="58" t="str">
        <f>'Data Entry'!$D$16</f>
        <v>Yes</v>
      </c>
      <c r="D16" s="58" t="str">
        <f>'Data Entry'!$E$16</f>
        <v>Yes</v>
      </c>
      <c r="E16" s="58" t="str">
        <f>'Data Entry'!F16</f>
        <v>Yes</v>
      </c>
      <c r="F16" s="58" t="str">
        <f>'Data Entry'!G16</f>
        <v>No</v>
      </c>
      <c r="G16" s="58" t="str">
        <f>'Data Entry'!H16</f>
        <v>Yes</v>
      </c>
      <c r="H16" s="58" t="str">
        <f>'Data Entry'!I16</f>
        <v>No</v>
      </c>
      <c r="I16" s="52"/>
    </row>
    <row r="17" spans="2:9" ht="13.5">
      <c r="B17" s="53"/>
      <c r="C17" s="6"/>
      <c r="D17" s="6"/>
      <c r="E17" s="6"/>
      <c r="F17" s="6"/>
      <c r="G17" s="6"/>
      <c r="H17" s="6"/>
      <c r="I17" s="52"/>
    </row>
    <row r="18" spans="2:9" ht="14.25" thickBot="1">
      <c r="B18" s="54" t="str">
        <f>'Black or African-American'!B16</f>
        <v>release 10/30/05</v>
      </c>
      <c r="C18" s="55"/>
      <c r="D18" s="55"/>
      <c r="E18" s="55"/>
      <c r="F18" s="55"/>
      <c r="G18" s="55"/>
      <c r="H18" s="55"/>
      <c r="I18" s="56"/>
    </row>
    <row r="20" ht="13.5">
      <c r="B20" t="s">
        <v>88</v>
      </c>
    </row>
    <row r="21" spans="2:4" ht="13.5">
      <c r="B21" t="s">
        <v>89</v>
      </c>
      <c r="D21" s="100" t="s">
        <v>92</v>
      </c>
    </row>
    <row r="22" spans="2:4" ht="13.5">
      <c r="B22" t="s">
        <v>90</v>
      </c>
      <c r="D22" t="s">
        <v>91</v>
      </c>
    </row>
    <row r="23" spans="2:4" ht="13.5">
      <c r="B23" t="s">
        <v>93</v>
      </c>
      <c r="D23" t="s">
        <v>83</v>
      </c>
    </row>
    <row r="24" spans="2:4" ht="13.5">
      <c r="B24" t="s">
        <v>94</v>
      </c>
      <c r="D24" t="s">
        <v>84</v>
      </c>
    </row>
    <row r="25" spans="2:4" ht="13.5">
      <c r="B25" t="s">
        <v>95</v>
      </c>
      <c r="D25" s="101" t="s">
        <v>85</v>
      </c>
    </row>
  </sheetData>
  <sheetProtection/>
  <conditionalFormatting sqref="C7:C15 G7:G15">
    <cfRule type="expression" priority="1" dxfId="93" stopIfTrue="1">
      <formula>L7=1</formula>
    </cfRule>
  </conditionalFormatting>
  <conditionalFormatting sqref="D7:D15">
    <cfRule type="expression" priority="2" dxfId="93" stopIfTrue="1">
      <formula>$M7=1</formula>
    </cfRule>
  </conditionalFormatting>
  <conditionalFormatting sqref="E7:E15">
    <cfRule type="expression" priority="3" dxfId="93" stopIfTrue="1">
      <formula>$N7=1</formula>
    </cfRule>
  </conditionalFormatting>
  <conditionalFormatting sqref="F7:F15">
    <cfRule type="expression" priority="4" dxfId="93" stopIfTrue="1">
      <formula>$O7=1</formula>
    </cfRule>
  </conditionalFormatting>
  <conditionalFormatting sqref="H7:H15">
    <cfRule type="expression" priority="5" dxfId="93" stopIfTrue="1">
      <formula>$Q7=1</formula>
    </cfRule>
  </conditionalFormatting>
  <conditionalFormatting sqref="I7:I15">
    <cfRule type="expression" priority="6" dxfId="93" stopIfTrue="1">
      <formula>$R7=1</formula>
    </cfRule>
  </conditionalFormatting>
  <printOptions/>
  <pageMargins left="1.11" right="0.77" top="1.26" bottom="1" header="0.5" footer="0.5"/>
  <pageSetup horizontalDpi="300" verticalDpi="300" orientation="landscape" scale="1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OGSR  - Portland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DMC Relative Rate Index</dc:title>
  <dc:subject/>
  <dc:creator>Bill Feyerherm</dc:creator>
  <cp:keywords/>
  <dc:description/>
  <cp:lastModifiedBy>Ruppert, Kathy</cp:lastModifiedBy>
  <cp:lastPrinted>2010-05-24T19:45:48Z</cp:lastPrinted>
  <dcterms:created xsi:type="dcterms:W3CDTF">2002-11-18T06:04:28Z</dcterms:created>
  <dcterms:modified xsi:type="dcterms:W3CDTF">2016-09-19T22:47:11Z</dcterms:modified>
  <cp:category/>
  <cp:version/>
  <cp:contentType/>
  <cp:contentStatus/>
</cp:coreProperties>
</file>